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mples\smples Estimate (1)\smples Estimate\remodel\"/>
    </mc:Choice>
  </mc:AlternateContent>
  <xr:revisionPtr revIDLastSave="0" documentId="13_ncr:1_{35292AC8-90E7-47A9-9611-041C274E010B}" xr6:coauthVersionLast="47" xr6:coauthVersionMax="47" xr10:uidLastSave="{00000000-0000-0000-0000-000000000000}"/>
  <bookViews>
    <workbookView xWindow="28680" yWindow="-120" windowWidth="29040" windowHeight="15720" tabRatio="833" xr2:uid="{00000000-000D-0000-FFFF-FFFF00000000}"/>
  </bookViews>
  <sheets>
    <sheet name="QTO" sheetId="1" r:id="rId1"/>
  </sheets>
  <definedNames>
    <definedName name="_xlnm.Print_Area" localSheetId="0">QTO!$A$1:$P$365</definedName>
    <definedName name="_xlnm.Print_Titles" localSheetId="0">QTO!$54:$54</definedName>
    <definedName name="TotalMonthlyExpenses">SUM(#REF!)</definedName>
    <definedName name="TotalMonthlyIncome">SUM(#REF!)</definedName>
  </definedNames>
  <calcPr calcId="191029"/>
</workbook>
</file>

<file path=xl/calcChain.xml><?xml version="1.0" encoding="utf-8"?>
<calcChain xmlns="http://schemas.openxmlformats.org/spreadsheetml/2006/main">
  <c r="G161" i="1" l="1"/>
  <c r="G127" i="1"/>
  <c r="G125" i="1"/>
  <c r="G124" i="1"/>
  <c r="P358" i="1" l="1"/>
  <c r="B360" i="1" l="1"/>
  <c r="B359" i="1"/>
  <c r="B358" i="1"/>
  <c r="B343" i="1"/>
  <c r="B342" i="1"/>
  <c r="B341" i="1"/>
  <c r="B340" i="1"/>
  <c r="H335" i="1"/>
  <c r="B334" i="1"/>
  <c r="H331" i="1"/>
  <c r="H330" i="1"/>
  <c r="B329" i="1"/>
  <c r="B320" i="1"/>
  <c r="B319" i="1"/>
  <c r="B318" i="1"/>
  <c r="B317" i="1"/>
  <c r="B311" i="1"/>
  <c r="B303" i="1"/>
  <c r="B302" i="1"/>
  <c r="B301" i="1"/>
  <c r="B296" i="1"/>
  <c r="B118" i="1"/>
  <c r="B119" i="1"/>
  <c r="B117" i="1"/>
  <c r="B116" i="1"/>
  <c r="B115" i="1"/>
  <c r="B114" i="1"/>
  <c r="B113" i="1"/>
  <c r="B112" i="1"/>
  <c r="B111" i="1"/>
  <c r="B110" i="1"/>
  <c r="B109" i="1"/>
  <c r="B108" i="1"/>
  <c r="H128" i="1" l="1"/>
  <c r="H127" i="1"/>
  <c r="H222" i="1"/>
  <c r="B122" i="1"/>
  <c r="B121" i="1"/>
  <c r="B120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H81" i="1"/>
  <c r="B81" i="1"/>
  <c r="H80" i="1"/>
  <c r="B80" i="1"/>
  <c r="H79" i="1"/>
  <c r="B79" i="1"/>
  <c r="H78" i="1"/>
  <c r="B78" i="1"/>
  <c r="B77" i="1"/>
  <c r="B76" i="1"/>
  <c r="B75" i="1"/>
  <c r="B74" i="1"/>
  <c r="B73" i="1"/>
  <c r="B72" i="1"/>
  <c r="B71" i="1"/>
  <c r="B70" i="1"/>
  <c r="B69" i="1"/>
  <c r="B206" i="1"/>
  <c r="H244" i="1"/>
  <c r="B247" i="1"/>
  <c r="B246" i="1"/>
  <c r="B245" i="1"/>
  <c r="B243" i="1"/>
  <c r="B236" i="1"/>
  <c r="B227" i="1"/>
  <c r="H249" i="1"/>
  <c r="H271" i="1"/>
  <c r="B267" i="1"/>
  <c r="H275" i="1"/>
  <c r="B310" i="1"/>
  <c r="B309" i="1"/>
  <c r="B308" i="1"/>
  <c r="B305" i="1"/>
  <c r="B304" i="1"/>
  <c r="B295" i="1"/>
  <c r="B294" i="1"/>
  <c r="B293" i="1"/>
  <c r="B288" i="1"/>
  <c r="B285" i="1"/>
  <c r="B259" i="1" l="1"/>
  <c r="H264" i="1"/>
  <c r="H263" i="1"/>
  <c r="H266" i="1"/>
  <c r="H262" i="1"/>
  <c r="H261" i="1"/>
  <c r="H260" i="1"/>
  <c r="H257" i="1"/>
  <c r="H258" i="1"/>
  <c r="B253" i="1"/>
  <c r="H256" i="1"/>
  <c r="H255" i="1"/>
  <c r="H254" i="1"/>
  <c r="H154" i="1"/>
  <c r="H139" i="1"/>
  <c r="H138" i="1"/>
  <c r="H169" i="1"/>
  <c r="H170" i="1"/>
  <c r="H168" i="1"/>
  <c r="H167" i="1"/>
  <c r="H166" i="1"/>
  <c r="B165" i="1"/>
  <c r="H163" i="1"/>
  <c r="B156" i="1"/>
  <c r="H153" i="1"/>
  <c r="H155" i="1"/>
  <c r="H152" i="1"/>
  <c r="H149" i="1"/>
  <c r="H150" i="1"/>
  <c r="H148" i="1"/>
  <c r="H147" i="1"/>
  <c r="B146" i="1"/>
  <c r="H144" i="1"/>
  <c r="H145" i="1"/>
  <c r="H143" i="1"/>
  <c r="H142" i="1"/>
  <c r="B141" i="1"/>
  <c r="H140" i="1"/>
  <c r="H137" i="1"/>
  <c r="H136" i="1"/>
  <c r="H190" i="1"/>
  <c r="H189" i="1"/>
  <c r="H188" i="1"/>
  <c r="H199" i="1"/>
  <c r="H185" i="1"/>
  <c r="H184" i="1"/>
  <c r="H183" i="1"/>
  <c r="B284" i="1" l="1"/>
  <c r="B283" i="1"/>
  <c r="B282" i="1"/>
  <c r="B274" i="1"/>
  <c r="B251" i="1"/>
  <c r="B250" i="1"/>
  <c r="B248" i="1"/>
  <c r="B226" i="1"/>
  <c r="B225" i="1"/>
  <c r="B224" i="1"/>
  <c r="B219" i="1"/>
  <c r="B218" i="1"/>
  <c r="B217" i="1"/>
  <c r="B216" i="1"/>
  <c r="B215" i="1"/>
  <c r="B204" i="1"/>
  <c r="B182" i="1"/>
  <c r="B181" i="1"/>
  <c r="B180" i="1"/>
  <c r="B179" i="1"/>
  <c r="B178" i="1"/>
  <c r="B175" i="1"/>
  <c r="B174" i="1"/>
  <c r="B173" i="1"/>
  <c r="B172" i="1"/>
  <c r="B171" i="1"/>
  <c r="B159" i="1"/>
  <c r="B151" i="1"/>
  <c r="B135" i="1"/>
  <c r="B134" i="1"/>
  <c r="B133" i="1"/>
  <c r="B132" i="1"/>
  <c r="B131" i="1"/>
  <c r="B130" i="1"/>
  <c r="G126" i="1"/>
  <c r="P361" i="1" s="1"/>
  <c r="B125" i="1"/>
  <c r="B124" i="1"/>
  <c r="B123" i="1"/>
  <c r="P362" i="1" l="1"/>
  <c r="P363" i="1"/>
  <c r="B356" i="1"/>
  <c r="B352" i="1"/>
  <c r="B348" i="1"/>
  <c r="B344" i="1"/>
  <c r="B336" i="1"/>
  <c r="B333" i="1"/>
  <c r="B327" i="1"/>
  <c r="B323" i="1"/>
  <c r="B315" i="1"/>
  <c r="B300" i="1"/>
  <c r="B355" i="1"/>
  <c r="B351" i="1"/>
  <c r="B347" i="1"/>
  <c r="B339" i="1"/>
  <c r="B332" i="1"/>
  <c r="B330" i="1"/>
  <c r="B326" i="1"/>
  <c r="B322" i="1"/>
  <c r="B314" i="1"/>
  <c r="B299" i="1"/>
  <c r="B354" i="1"/>
  <c r="B350" i="1"/>
  <c r="B346" i="1"/>
  <c r="B338" i="1"/>
  <c r="B335" i="1"/>
  <c r="B325" i="1"/>
  <c r="B321" i="1"/>
  <c r="B313" i="1"/>
  <c r="B298" i="1"/>
  <c r="B357" i="1"/>
  <c r="B353" i="1"/>
  <c r="B349" i="1"/>
  <c r="B345" i="1"/>
  <c r="B337" i="1"/>
  <c r="B331" i="1"/>
  <c r="B328" i="1"/>
  <c r="B324" i="1"/>
  <c r="B316" i="1"/>
  <c r="B312" i="1"/>
  <c r="B297" i="1"/>
  <c r="B220" i="1"/>
  <c r="B127" i="1"/>
  <c r="B129" i="1"/>
  <c r="B128" i="1"/>
  <c r="B214" i="1"/>
  <c r="B210" i="1"/>
  <c r="B240" i="1"/>
  <c r="B232" i="1"/>
  <c r="B228" i="1"/>
  <c r="B208" i="1"/>
  <c r="B238" i="1"/>
  <c r="B230" i="1"/>
  <c r="B211" i="1"/>
  <c r="B242" i="1"/>
  <c r="B233" i="1"/>
  <c r="B229" i="1"/>
  <c r="B213" i="1"/>
  <c r="B209" i="1"/>
  <c r="B244" i="1"/>
  <c r="B239" i="1"/>
  <c r="B235" i="1"/>
  <c r="B231" i="1"/>
  <c r="B212" i="1"/>
  <c r="B234" i="1"/>
  <c r="B207" i="1"/>
  <c r="B237" i="1"/>
  <c r="B271" i="1"/>
  <c r="B268" i="1"/>
  <c r="B273" i="1"/>
  <c r="B270" i="1"/>
  <c r="B276" i="1"/>
  <c r="B278" i="1"/>
  <c r="B272" i="1"/>
  <c r="B269" i="1"/>
  <c r="B277" i="1"/>
  <c r="B307" i="1"/>
  <c r="B306" i="1"/>
  <c r="B290" i="1"/>
  <c r="B286" i="1"/>
  <c r="B287" i="1"/>
  <c r="B289" i="1"/>
  <c r="B292" i="1"/>
  <c r="B291" i="1"/>
  <c r="B260" i="1"/>
  <c r="B264" i="1"/>
  <c r="B265" i="1"/>
  <c r="B262" i="1"/>
  <c r="B261" i="1"/>
  <c r="B266" i="1"/>
  <c r="B263" i="1"/>
  <c r="B257" i="1"/>
  <c r="B258" i="1"/>
  <c r="B254" i="1"/>
  <c r="B255" i="1"/>
  <c r="B256" i="1"/>
  <c r="B138" i="1"/>
  <c r="B168" i="1"/>
  <c r="B166" i="1"/>
  <c r="B169" i="1"/>
  <c r="B154" i="1"/>
  <c r="B167" i="1"/>
  <c r="B163" i="1"/>
  <c r="B170" i="1"/>
  <c r="B157" i="1"/>
  <c r="B158" i="1"/>
  <c r="B161" i="1"/>
  <c r="B162" i="1"/>
  <c r="B150" i="1"/>
  <c r="B142" i="1"/>
  <c r="B149" i="1"/>
  <c r="B145" i="1"/>
  <c r="B144" i="1"/>
  <c r="B147" i="1"/>
  <c r="B148" i="1"/>
  <c r="B143" i="1"/>
  <c r="B177" i="1"/>
  <c r="B189" i="1"/>
  <c r="B190" i="1"/>
  <c r="B194" i="1"/>
  <c r="B198" i="1"/>
  <c r="B202" i="1"/>
  <c r="B192" i="1"/>
  <c r="B200" i="1"/>
  <c r="B197" i="1"/>
  <c r="B191" i="1"/>
  <c r="B195" i="1"/>
  <c r="B199" i="1"/>
  <c r="B203" i="1"/>
  <c r="B188" i="1"/>
  <c r="B196" i="1"/>
  <c r="B193" i="1"/>
  <c r="B201" i="1"/>
  <c r="B136" i="1"/>
  <c r="B139" i="1"/>
  <c r="B186" i="1"/>
  <c r="B281" i="1"/>
  <c r="B184" i="1"/>
  <c r="B205" i="1"/>
  <c r="B223" i="1"/>
  <c r="B252" i="1"/>
  <c r="B275" i="1"/>
  <c r="B153" i="1"/>
  <c r="B164" i="1"/>
  <c r="B137" i="1"/>
  <c r="B140" i="1"/>
  <c r="B160" i="1"/>
  <c r="B176" i="1"/>
  <c r="B185" i="1"/>
  <c r="B187" i="1"/>
  <c r="B221" i="1"/>
  <c r="B249" i="1"/>
  <c r="B279" i="1"/>
  <c r="B126" i="1"/>
  <c r="B152" i="1"/>
  <c r="B155" i="1"/>
  <c r="B183" i="1"/>
  <c r="B280" i="1"/>
  <c r="P364" i="1" l="1"/>
  <c r="B58" i="1"/>
  <c r="B59" i="1"/>
  <c r="B60" i="1"/>
  <c r="B61" i="1"/>
  <c r="B62" i="1"/>
  <c r="B63" i="1"/>
  <c r="B64" i="1"/>
  <c r="B65" i="1"/>
  <c r="B66" i="1"/>
  <c r="B67" i="1"/>
  <c r="B68" i="1"/>
  <c r="B364" i="1" l="1"/>
  <c r="B363" i="1"/>
  <c r="B362" i="1"/>
  <c r="B361" i="1"/>
  <c r="B57" i="1"/>
</calcChain>
</file>

<file path=xl/sharedStrings.xml><?xml version="1.0" encoding="utf-8"?>
<sst xmlns="http://schemas.openxmlformats.org/spreadsheetml/2006/main" count="547" uniqueCount="274">
  <si>
    <t>S#</t>
  </si>
  <si>
    <t>CSI NO</t>
  </si>
  <si>
    <t>QTY.</t>
  </si>
  <si>
    <t>DIVISION 02 - EXISTING CONDITIONS</t>
  </si>
  <si>
    <t>DETAIL #</t>
  </si>
  <si>
    <t>LS</t>
  </si>
  <si>
    <t>SUPERVISION</t>
  </si>
  <si>
    <t>DIVISION 01 - GENERAL REQUIREMENTS</t>
  </si>
  <si>
    <t>Subtotal</t>
  </si>
  <si>
    <t>Calc.</t>
  </si>
  <si>
    <t>MOBILIZATION</t>
  </si>
  <si>
    <t>SELECTIVE REMOVALS AND DEMOLITION</t>
  </si>
  <si>
    <t>DESCRIPTION</t>
  </si>
  <si>
    <t>DWG #</t>
  </si>
  <si>
    <t xml:space="preserve">                                                   </t>
  </si>
  <si>
    <t xml:space="preserve">BIDDER NAME:  </t>
  </si>
  <si>
    <t>UNIT</t>
  </si>
  <si>
    <t xml:space="preserve"> ID:  </t>
  </si>
  <si>
    <t>PERMITS</t>
  </si>
  <si>
    <t>Total.</t>
  </si>
  <si>
    <t>Add Contractor's overhead &amp; profit @ 15%</t>
  </si>
  <si>
    <t>G.Total</t>
  </si>
  <si>
    <t>BOND &amp; INSURANCE</t>
  </si>
  <si>
    <t>SUBMITTALS &amp; SAMPLES</t>
  </si>
  <si>
    <t>TEMPORARY FACILITIES &amp; CONTROLS</t>
  </si>
  <si>
    <t>PROJECT SCHEDULE</t>
  </si>
  <si>
    <t>CLOSEOUT PROCEDURES</t>
  </si>
  <si>
    <t>LABOR</t>
  </si>
  <si>
    <t>TOTAL COST</t>
  </si>
  <si>
    <t>Add wastage of materials</t>
  </si>
  <si>
    <t>COMPOSITE
 RATE/UNIT</t>
  </si>
  <si>
    <t>MHrs/ Unit</t>
  </si>
  <si>
    <r>
      <t xml:space="preserve">MATERIAL  
</t>
    </r>
    <r>
      <rPr>
        <sz val="11"/>
        <color theme="1"/>
        <rFont val="Arial"/>
        <family val="2"/>
      </rPr>
      <t>($Per Unit)</t>
    </r>
  </si>
  <si>
    <r>
      <t xml:space="preserve">EQUIPMENT </t>
    </r>
    <r>
      <rPr>
        <sz val="11"/>
        <color theme="1"/>
        <rFont val="Arial"/>
        <family val="2"/>
      </rPr>
      <t>($Per Unit)</t>
    </r>
  </si>
  <si>
    <t>($Per Unit)</t>
  </si>
  <si>
    <t>$/Hour</t>
  </si>
  <si>
    <t>LF</t>
  </si>
  <si>
    <t>EA</t>
  </si>
  <si>
    <t>SF</t>
  </si>
  <si>
    <t>EARTHWORK</t>
  </si>
  <si>
    <t>Footing excavation.</t>
  </si>
  <si>
    <t>CF</t>
  </si>
  <si>
    <t>Footing backfill.</t>
  </si>
  <si>
    <t>Surplus export material.</t>
  </si>
  <si>
    <t>DIVISION 03 - CONCRETE</t>
  </si>
  <si>
    <t>CAST IN PLACE CONCRETE</t>
  </si>
  <si>
    <t>Compaction of sub-grade.</t>
  </si>
  <si>
    <t>Formwork.</t>
  </si>
  <si>
    <t>Rebar's (Grade 60)</t>
  </si>
  <si>
    <t>LB</t>
  </si>
  <si>
    <t>Concrete footing. (f'c = 3000 PSI)</t>
  </si>
  <si>
    <t>SLAB ON GRADE</t>
  </si>
  <si>
    <t>(5" THK) Slab on grade w/ CIP 6x6 W1.4xW1.4 WWF (f'c = 3000 PSI)</t>
  </si>
  <si>
    <t>DIVISION 05 - METAL</t>
  </si>
  <si>
    <t>METAL FABRICATIONS</t>
  </si>
  <si>
    <t>DIVISION 06 - WOOD, PLASTIC AND COMPOSITES</t>
  </si>
  <si>
    <t>WOOD FRAMING</t>
  </si>
  <si>
    <t>(2x6) Wood studs @ 16" O.C</t>
  </si>
  <si>
    <t>ROUGH CARPENTRY</t>
  </si>
  <si>
    <t>(3/4") T&amp;G Plywood subfloor sheathing.</t>
  </si>
  <si>
    <t>ARCHITECTURAL WOOD CASEWORK</t>
  </si>
  <si>
    <t xml:space="preserve">DIVISION 07 - THERMAL AND MOISTURE PROTECTION </t>
  </si>
  <si>
    <t>DIVISION 08 - OPENING</t>
  </si>
  <si>
    <t>WOOD DOORS</t>
  </si>
  <si>
    <t>FINISH HARDWARE</t>
  </si>
  <si>
    <t>SET</t>
  </si>
  <si>
    <t>DIVISION 09 - FINISHES</t>
  </si>
  <si>
    <t>GYPSUM BOARD ASSEMBLIES</t>
  </si>
  <si>
    <t>FLOORING</t>
  </si>
  <si>
    <t>PAINTING</t>
  </si>
  <si>
    <t>DIVISION 10 - SPECIALTIES</t>
  </si>
  <si>
    <t>TOILET AND BATH ACCESSORIES</t>
  </si>
  <si>
    <t>DIVISION 11 - EQUIPMENT</t>
  </si>
  <si>
    <t>Refrigerator</t>
  </si>
  <si>
    <t>Microwave Oven</t>
  </si>
  <si>
    <t>DIVISION 12 - FURNISHING</t>
  </si>
  <si>
    <t>SOLID SURFACING COUNTERTOPS</t>
  </si>
  <si>
    <t>DIVISION 15 - HEATING, VENTILATING, AND AIR-CONDITIONING (HVAC)</t>
  </si>
  <si>
    <t>DIVISION 15 - PLUMBING</t>
  </si>
  <si>
    <t>SHUTT OFF VALVE</t>
  </si>
  <si>
    <t>DOMESTIC WATER PIPING
COPPER TYPE "L"</t>
  </si>
  <si>
    <t>DIVISION 16 - ELECTRICAL</t>
  </si>
  <si>
    <t>SIMPSON HDU5</t>
  </si>
  <si>
    <t>SIMPSON U Hanger.</t>
  </si>
  <si>
    <t>SIMPSON U26 Hanger.</t>
  </si>
  <si>
    <t>SIMSPON A35</t>
  </si>
  <si>
    <t>(2x6) Floor Joists.</t>
  </si>
  <si>
    <t>(2x6) Ceiling Joists.</t>
  </si>
  <si>
    <t>(4x4) P.T Wood Post. (5 EA)</t>
  </si>
  <si>
    <t>(4x6) P.T Wood Post. (4 EA)</t>
  </si>
  <si>
    <t>(2x4) P.T Trimmer. (2 EA)</t>
  </si>
  <si>
    <t>(5/8" DIAx9"H) Anchor bolt.</t>
  </si>
  <si>
    <t>(2x6) P.T Mud Sill Plate.</t>
  </si>
  <si>
    <t>(2x6) Rim Joists.</t>
  </si>
  <si>
    <t>(2x4) Bottom plate.</t>
  </si>
  <si>
    <t>(2x4) Blocking.</t>
  </si>
  <si>
    <t>(2x6) Blocking.</t>
  </si>
  <si>
    <t>(4x6) Header beam.</t>
  </si>
  <si>
    <t>(4x8) Header beam.</t>
  </si>
  <si>
    <t>(4x10) Header beam.</t>
  </si>
  <si>
    <t>(4x12) Header beam.</t>
  </si>
  <si>
    <t>(6x12) Header beam.</t>
  </si>
  <si>
    <t>(2x6) Wood Beam.</t>
  </si>
  <si>
    <t>ALUM. Grate.</t>
  </si>
  <si>
    <t>(2'4"Wx2'H) Access Panel w/ 1/4"x1/4" Wire Mesh.</t>
  </si>
  <si>
    <t>(1'6"H) 26 GA. Flashing.</t>
  </si>
  <si>
    <t>(1'Wx6"H) CONCRETE FOOTING</t>
  </si>
  <si>
    <t>(1'Wx1'H) CONCRETE FOOTING</t>
  </si>
  <si>
    <t>(1'Wx2'6"H) CONCRETE FOOTING</t>
  </si>
  <si>
    <t>CONCRETE STEM WALL</t>
  </si>
  <si>
    <t>(6" THK) Concrete wall. (f'c = 3000 PSI)</t>
  </si>
  <si>
    <t>(4") Compacted fill.</t>
  </si>
  <si>
    <t>(6 MIL) Vapor barrier.</t>
  </si>
  <si>
    <t>(5" THK) Slab on grade. (f'c = 3000 PSI)</t>
  </si>
  <si>
    <t>CONCRETE STAIR &amp; STEPS</t>
  </si>
  <si>
    <t>(6" THK) Concrete stair steps. (f'c = 3000 PSI)</t>
  </si>
  <si>
    <t>Epoxy Coated Rebar's #4 (Grade 60)</t>
  </si>
  <si>
    <t>(2x6) GWB INTERIOR WALL (126 LF)</t>
  </si>
  <si>
    <t>(5/8", 1-Layer) Gyp. Bd. both side.</t>
  </si>
  <si>
    <t>(2x6) GWB EXTERIOR WALL (70 LF)</t>
  </si>
  <si>
    <t>(2x6) P.T Bottom track.</t>
  </si>
  <si>
    <t>(2x6) Top track.</t>
  </si>
  <si>
    <t>(5/8", 1-Layer) Gyp. Bd. One side.</t>
  </si>
  <si>
    <t>Tyvek Wrap.</t>
  </si>
  <si>
    <t>(1/2") APA Rated Struct. 1 EXP. 1 Plywood Sheathing.</t>
  </si>
  <si>
    <t>A-4.1 TO A-6.0</t>
  </si>
  <si>
    <t>(6'8"H) Shower / Tub Glass Wall</t>
  </si>
  <si>
    <t>Closet Rod</t>
  </si>
  <si>
    <t>(36"L) Grab Bar</t>
  </si>
  <si>
    <t>Toilet Tissue Dispenser</t>
  </si>
  <si>
    <t>Soap Dispenser</t>
  </si>
  <si>
    <t>Mirror</t>
  </si>
  <si>
    <t>Vanity Countertop</t>
  </si>
  <si>
    <t>Solid Surface Countertop</t>
  </si>
  <si>
    <t>GWB Wall Paint</t>
  </si>
  <si>
    <t>Existing Stucco Soffit Paint</t>
  </si>
  <si>
    <t>Existing Roof Soffit Paint</t>
  </si>
  <si>
    <t>GWB Ceiling Paint</t>
  </si>
  <si>
    <t>Wood Batten Siding Paint</t>
  </si>
  <si>
    <t>Single Door &amp; Frame Paint</t>
  </si>
  <si>
    <t>Double Door &amp; Frame Paint</t>
  </si>
  <si>
    <t>GWB CEILING</t>
  </si>
  <si>
    <t>(5/8", 1-Layer) GWB Ceiling.</t>
  </si>
  <si>
    <t>LVT Floor</t>
  </si>
  <si>
    <t>Ceramic Tile Floor</t>
  </si>
  <si>
    <t>Carpet Floor</t>
  </si>
  <si>
    <t xml:space="preserve">Wall Tile </t>
  </si>
  <si>
    <t>(6"H) Ceramic Tile Base</t>
  </si>
  <si>
    <t>(4"H) Vinyl Base</t>
  </si>
  <si>
    <t>Wood Batten Siding</t>
  </si>
  <si>
    <t>(12'-0"Wx6'-8"H) Siliding Temperd Glass Door</t>
  </si>
  <si>
    <t>(7'-4"Wx6'-8"H) Hollow Metal Temperd Glass Welded Door</t>
  </si>
  <si>
    <t>(5'-3"Wx4'-1"H) Casement Window</t>
  </si>
  <si>
    <t>(4'-0"Wx3'-2"H) Casement Temperd Window</t>
  </si>
  <si>
    <t>(6'-3"Wx2'-3"H) Casement Window</t>
  </si>
  <si>
    <t>(2'10"x3'10") Attic Access</t>
  </si>
  <si>
    <t>(3'-0"Wx6'-8"H) Wrought Iron Door</t>
  </si>
  <si>
    <t>(3'-0"Wx6'-8"H) Fire Rated Metal Door</t>
  </si>
  <si>
    <t>(2'-8"Wx6'-8"H) Solid Core Wood Door &amp; Frame</t>
  </si>
  <si>
    <t>(2'-8"Wx6'-8"H) Hollow Core Wood Door &amp; Frame</t>
  </si>
  <si>
    <t>(2'-8"Wx6'-8"H) Factory Finish Door</t>
  </si>
  <si>
    <t>(3'-0"Wx6'-8"H) Solid Core Wood Door &amp; Frame</t>
  </si>
  <si>
    <t>(12'-0"Wx6'-8"H) Stain Grade Wood Door &amp; Frame</t>
  </si>
  <si>
    <t>(8'-0"Wx6'-8"H) Stain Grade Wood Door &amp; Frame</t>
  </si>
  <si>
    <t>Door Hardware.</t>
  </si>
  <si>
    <t>(9'8"Wx2'Dx2'10"H) Base cabinet</t>
  </si>
  <si>
    <t>(4'7"Wx2'Dx2'10"H) Base cabinet</t>
  </si>
  <si>
    <t>(5'5"Wx2'Dx3'H) Vanity Base Cabinet</t>
  </si>
  <si>
    <t>(2'Wx1'Dx2'6"H) Wall Cabinet</t>
  </si>
  <si>
    <t>(14'10"Wx1'Dx2'6"H) Wall Cabinet</t>
  </si>
  <si>
    <t>(9"Wx1'Dx2'6"H) Wall Cabinet</t>
  </si>
  <si>
    <t>(10"W) Shelve</t>
  </si>
  <si>
    <t>(1'8"W) Shelve</t>
  </si>
  <si>
    <t>Remove Existing Floor</t>
  </si>
  <si>
    <t>Remove Existing GWB Ceiling</t>
  </si>
  <si>
    <t>Remove Existing Stone Hearth</t>
  </si>
  <si>
    <t>Remove Existing (3"THK) Concrete Crawl Space Access</t>
  </si>
  <si>
    <t>Remove Existing Vanity Countertop</t>
  </si>
  <si>
    <t>Remove Existing Countertop</t>
  </si>
  <si>
    <t>Patch &amp; Repair Existing Floor Finish</t>
  </si>
  <si>
    <t>Patch &amp; Repair Existing GWB Celing Finish</t>
  </si>
  <si>
    <t>Remove Existing GYP Wall Board.</t>
  </si>
  <si>
    <t>Remove Existing Exterior GWB Wall.</t>
  </si>
  <si>
    <t>Remove Existing Interior GWB Wall.</t>
  </si>
  <si>
    <t xml:space="preserve">Remove Exting Concrete Wall (6"THK) </t>
  </si>
  <si>
    <t>Remove Exting Concrete Footing</t>
  </si>
  <si>
    <t>Remove Existing Base</t>
  </si>
  <si>
    <t>Remove Existing (1'W) Shelve</t>
  </si>
  <si>
    <t>Remove Existing Rod &amp; Shelve</t>
  </si>
  <si>
    <t>Remove Existing Fire Place</t>
  </si>
  <si>
    <t>Remove Existing Window (6'-3"Wx4'-6"H)</t>
  </si>
  <si>
    <t>Remove Existing Window (3'-2"Wx3'-0"H)</t>
  </si>
  <si>
    <t>Remove Existing Window (2'-8"Wx2'-3"H)</t>
  </si>
  <si>
    <t>Remove Existing Window (1'-3"Wx2'-2"H)</t>
  </si>
  <si>
    <t>Remove Existing Window (1'-3"Wx1'-6"H)</t>
  </si>
  <si>
    <t>Remove Existing Door &amp; Frame (2'-8"Wx7'-0"H)</t>
  </si>
  <si>
    <t>Remove Existing Door &amp; Frame (2'-4"Wx7'-0"H)</t>
  </si>
  <si>
    <t>Remove Existing Sliding Glass Door (8'-0"Wx6'-8"H)</t>
  </si>
  <si>
    <t>Remove Existing Sliding Glass Door (12'-0"Wx6'-8"H)</t>
  </si>
  <si>
    <t>Remove Existing Sliding Glass Door (10'-0"Wx6'-8"H)</t>
  </si>
  <si>
    <t>Remove Existing Wall Cabinet (8'9"Wx1'Dx2'6"H)</t>
  </si>
  <si>
    <t>Remove Existing Wall Cabinet (7'2"Wx1'Dx2'6"H)</t>
  </si>
  <si>
    <t>Remove Existing Vanity Base Cabinet (6'Wx1'8"Dx3'H)</t>
  </si>
  <si>
    <t>Remove Existing Vanity Base Cabinet (4'4"Wx2'Dx3'H)</t>
  </si>
  <si>
    <t>Remove Existing Vanity Base Cabinet (1'1"Wx1'8"Dx3'H)</t>
  </si>
  <si>
    <t>Remove Existing Base Cabinet (6'9"Wx2'Dx2'10"H)</t>
  </si>
  <si>
    <t>Remove Existing Base Cabinet (6'5"Wx2'Dx2'10"H)</t>
  </si>
  <si>
    <t>Remove Existing (36"L) Grab Bar</t>
  </si>
  <si>
    <t>Remove Existing Toilet Tissue Dispenser</t>
  </si>
  <si>
    <t>Remove Existing Soap Dispenser</t>
  </si>
  <si>
    <t>Remove Existing (2'6"x3'x6") Table</t>
  </si>
  <si>
    <t>FLOOR / CEILING INSULATION</t>
  </si>
  <si>
    <t>(6" THK) R-19 Floor Insulation.</t>
  </si>
  <si>
    <t>(6" THK) R-30 Floor Insulation.</t>
  </si>
  <si>
    <t>(6") R-21 Batt Insulation.</t>
  </si>
  <si>
    <t>(6") Batt Insulation.</t>
  </si>
  <si>
    <t>(4" DIA) Drain pipe.</t>
  </si>
  <si>
    <t>(3/4") Gravel.</t>
  </si>
  <si>
    <t>Filter cloth..</t>
  </si>
  <si>
    <t>S2.1</t>
  </si>
  <si>
    <t>S2.1 &amp; S2.2</t>
  </si>
  <si>
    <t>Waterproofing membrane.</t>
  </si>
  <si>
    <t>Remove Existing Receptacle</t>
  </si>
  <si>
    <t>Remove Existing Switches</t>
  </si>
  <si>
    <t>Remove Existing Light Fixture</t>
  </si>
  <si>
    <t>Remove existing water closet</t>
  </si>
  <si>
    <t>Remove existing Lavatory</t>
  </si>
  <si>
    <t>Remove existing Shower</t>
  </si>
  <si>
    <t>Remove existing kitchen sink</t>
  </si>
  <si>
    <t>Remove existing Kitchen Appliances</t>
  </si>
  <si>
    <t>Remove existing Kitchen Hood</t>
  </si>
  <si>
    <t>Remove existing Exhaust fan.</t>
  </si>
  <si>
    <t>Remove existing Wiring &amp; Conduit</t>
  </si>
  <si>
    <t>Remove existing Plumbing Piping</t>
  </si>
  <si>
    <t>Cooking range</t>
  </si>
  <si>
    <t>Dishwasher</t>
  </si>
  <si>
    <t>Kitchen Exhaust hood.</t>
  </si>
  <si>
    <t>Kitchen Exhaust Fan. (300 CFM)</t>
  </si>
  <si>
    <t>Exhaust Fan. (50 CFM)</t>
  </si>
  <si>
    <t>Supply Diffuser</t>
  </si>
  <si>
    <t>Allowances For Metal Air Ducts. (Assumed)</t>
  </si>
  <si>
    <t>Kitchen sink</t>
  </si>
  <si>
    <t>Water closet</t>
  </si>
  <si>
    <t>Lavatory</t>
  </si>
  <si>
    <t>Bath tub</t>
  </si>
  <si>
    <t>Floor drain</t>
  </si>
  <si>
    <t>Wall Cleanout</t>
  </si>
  <si>
    <t>Ball Valve</t>
  </si>
  <si>
    <t>(1/2") COLD WATER PIPE</t>
  </si>
  <si>
    <t>(1/2") HOT WATER PIPE</t>
  </si>
  <si>
    <t>(3/4") COLD WATER PIPE</t>
  </si>
  <si>
    <t>(3/4") HOT WATER PIPE</t>
  </si>
  <si>
    <t>SANITARY PIPE
PVC SCH 40</t>
  </si>
  <si>
    <t>(2") SANITARY PIPE</t>
  </si>
  <si>
    <t>(2") VENT PIPE</t>
  </si>
  <si>
    <t>(3") VENT PIPE</t>
  </si>
  <si>
    <t>(3") WASTE PIPE</t>
  </si>
  <si>
    <t>(1-1/2") VENT PIPE</t>
  </si>
  <si>
    <t>A - 4.25 Recessed Downlight - Compact Fluorescent</t>
  </si>
  <si>
    <t>E - 4.25 Recessed Downlight</t>
  </si>
  <si>
    <t>B - 6" Recessed Downlight / Waterproof</t>
  </si>
  <si>
    <t>Surface Mounted Wall LED Fixture</t>
  </si>
  <si>
    <t>Cove Strip LED Light</t>
  </si>
  <si>
    <t>Door Activated Closet Device</t>
  </si>
  <si>
    <t>S - Single Pole Switch</t>
  </si>
  <si>
    <t>S3 - Three Way Switch</t>
  </si>
  <si>
    <t>Special Purpose Receptacle</t>
  </si>
  <si>
    <t>Quadplex Receptacle</t>
  </si>
  <si>
    <t>GFCI Duplex Receptacle</t>
  </si>
  <si>
    <t>SD - Smoke Detector</t>
  </si>
  <si>
    <t>CO - Combination Monoxide Detector</t>
  </si>
  <si>
    <t>WIRING &amp; CONDUIT</t>
  </si>
  <si>
    <t>CY</t>
  </si>
  <si>
    <t>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</si>
</sst>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00000"/>
    <numFmt numFmtId="165" formatCode="&quot;$&quot;#,##0"/>
    <numFmt numFmtId="166" formatCode="_(* #,##0.000_);_(* \(#,##0.000\);_(* &quot;-&quot;???_);_(@_)"/>
    <numFmt numFmtId="167" formatCode="0.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4.9989318521683403E-2"/>
      <name val="Calibri"/>
      <family val="1"/>
      <scheme val="minor"/>
    </font>
    <font>
      <sz val="36"/>
      <color theme="0"/>
      <name val="Cambria"/>
      <family val="1"/>
      <scheme val="major"/>
    </font>
    <font>
      <b/>
      <sz val="11"/>
      <color theme="0"/>
      <name val="Cambria"/>
      <family val="1"/>
      <scheme val="major"/>
    </font>
    <font>
      <b/>
      <sz val="10"/>
      <color theme="0"/>
      <name val="Cambria"/>
      <family val="1"/>
      <scheme val="major"/>
    </font>
    <font>
      <u/>
      <sz val="9.35"/>
      <color theme="10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 tint="4.9989318521683403E-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theme="0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gray125">
        <bgColor theme="0"/>
      </patternFill>
    </fill>
    <fill>
      <patternFill patternType="darkTrellis">
        <bgColor theme="0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0" fontId="6" fillId="0" borderId="0">
      <alignment vertical="center"/>
    </xf>
    <xf numFmtId="0" fontId="8" fillId="3" borderId="0" applyNumberFormat="0" applyBorder="0" applyProtection="0">
      <alignment horizontal="center" vertical="center"/>
    </xf>
    <xf numFmtId="0" fontId="8" fillId="4" borderId="0" applyNumberFormat="0" applyBorder="0" applyProtection="0">
      <alignment horizontal="center" vertical="center"/>
    </xf>
    <xf numFmtId="0" fontId="9" fillId="5" borderId="0" applyNumberFormat="0" applyBorder="0" applyAlignment="0" applyProtection="0"/>
    <xf numFmtId="0" fontId="7" fillId="2" borderId="0" applyNumberFormat="0" applyBorder="0" applyAlignment="0" applyProtection="0"/>
    <xf numFmtId="0" fontId="5" fillId="0" borderId="0"/>
    <xf numFmtId="0" fontId="4" fillId="6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" fillId="8" borderId="11" applyBorder="0">
      <alignment horizontal="center" vertical="center"/>
    </xf>
    <xf numFmtId="0" fontId="3" fillId="9" borderId="11" applyBorder="0">
      <alignment horizontal="center" vertical="center"/>
    </xf>
    <xf numFmtId="0" fontId="3" fillId="10" borderId="15">
      <alignment horizontal="center" vertical="center"/>
    </xf>
    <xf numFmtId="0" fontId="1" fillId="8" borderId="11" applyBorder="0">
      <alignment horizontal="center" vertical="center"/>
    </xf>
    <xf numFmtId="0" fontId="20" fillId="0" borderId="0"/>
    <xf numFmtId="0" fontId="5" fillId="11" borderId="0" applyNumberFormat="0" applyBorder="0" applyAlignment="0" applyProtection="0"/>
  </cellStyleXfs>
  <cellXfs count="210">
    <xf numFmtId="0" fontId="0" fillId="0" borderId="0" xfId="0"/>
    <xf numFmtId="0" fontId="3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0" fontId="14" fillId="7" borderId="1" xfId="1" applyFont="1" applyFill="1" applyBorder="1" applyAlignment="1">
      <alignment horizontal="center" vertical="center" wrapText="1"/>
    </xf>
    <xf numFmtId="0" fontId="14" fillId="7" borderId="16" xfId="1" applyFont="1" applyFill="1" applyBorder="1" applyAlignment="1">
      <alignment horizontal="center" vertical="center" wrapText="1"/>
    </xf>
    <xf numFmtId="0" fontId="14" fillId="7" borderId="11" xfId="1" applyFont="1" applyFill="1" applyBorder="1" applyAlignment="1">
      <alignment horizontal="center" vertical="center" wrapText="1"/>
    </xf>
    <xf numFmtId="0" fontId="3" fillId="7" borderId="0" xfId="0" applyFont="1" applyFill="1" applyAlignment="1">
      <alignment vertical="center" wrapText="1"/>
    </xf>
    <xf numFmtId="0" fontId="11" fillId="7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vertical="center" wrapText="1"/>
    </xf>
    <xf numFmtId="14" fontId="3" fillId="7" borderId="0" xfId="0" applyNumberFormat="1" applyFont="1" applyFill="1" applyAlignment="1">
      <alignment vertical="center" wrapText="1"/>
    </xf>
    <xf numFmtId="0" fontId="12" fillId="7" borderId="0" xfId="0" applyFont="1" applyFill="1" applyAlignment="1">
      <alignment horizontal="right" vertical="center" wrapText="1"/>
    </xf>
    <xf numFmtId="0" fontId="3" fillId="7" borderId="0" xfId="0" applyFont="1" applyFill="1" applyAlignment="1">
      <alignment horizontal="right" vertical="center" wrapText="1"/>
    </xf>
    <xf numFmtId="0" fontId="12" fillId="7" borderId="0" xfId="0" applyFont="1" applyFill="1" applyAlignment="1">
      <alignment horizontal="right" vertical="center"/>
    </xf>
    <xf numFmtId="0" fontId="3" fillId="8" borderId="14" xfId="9" applyBorder="1" applyAlignment="1">
      <alignment horizontal="center" vertical="center" wrapText="1"/>
    </xf>
    <xf numFmtId="0" fontId="3" fillId="8" borderId="12" xfId="9" applyBorder="1" applyAlignment="1">
      <alignment horizontal="center" vertical="center" wrapText="1"/>
    </xf>
    <xf numFmtId="0" fontId="15" fillId="7" borderId="1" xfId="6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14" fillId="7" borderId="21" xfId="1" applyFont="1" applyFill="1" applyBorder="1" applyAlignment="1">
      <alignment horizontal="center" vertical="center" wrapText="1"/>
    </xf>
    <xf numFmtId="0" fontId="12" fillId="7" borderId="1" xfId="6" applyFont="1" applyFill="1" applyBorder="1" applyAlignment="1">
      <alignment horizontal="right" vertical="center" wrapText="1"/>
    </xf>
    <xf numFmtId="0" fontId="12" fillId="7" borderId="3" xfId="6" applyFont="1" applyFill="1" applyBorder="1" applyAlignment="1">
      <alignment horizontal="center" vertical="center" wrapText="1"/>
    </xf>
    <xf numFmtId="0" fontId="12" fillId="7" borderId="19" xfId="6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2" fillId="7" borderId="0" xfId="0" applyFont="1" applyFill="1" applyAlignment="1">
      <alignment vertical="center" wrapText="1"/>
    </xf>
    <xf numFmtId="0" fontId="14" fillId="7" borderId="3" xfId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9" fillId="7" borderId="0" xfId="8" applyFont="1" applyFill="1" applyAlignment="1" applyProtection="1">
      <alignment horizontal="center" vertical="center" wrapText="1"/>
    </xf>
    <xf numFmtId="1" fontId="3" fillId="7" borderId="0" xfId="0" applyNumberFormat="1" applyFont="1" applyFill="1" applyAlignment="1">
      <alignment horizontal="center" vertical="center" wrapText="1"/>
    </xf>
    <xf numFmtId="1" fontId="11" fillId="7" borderId="0" xfId="0" applyNumberFormat="1" applyFont="1" applyFill="1" applyAlignment="1">
      <alignment horizontal="center" vertical="center" wrapText="1"/>
    </xf>
    <xf numFmtId="1" fontId="14" fillId="7" borderId="1" xfId="1" applyNumberFormat="1" applyFont="1" applyFill="1" applyBorder="1" applyAlignment="1">
      <alignment horizontal="center" vertical="center" wrapText="1"/>
    </xf>
    <xf numFmtId="1" fontId="15" fillId="7" borderId="1" xfId="1" applyNumberFormat="1" applyFont="1" applyFill="1" applyBorder="1" applyAlignment="1">
      <alignment horizontal="center" vertical="center" wrapText="1"/>
    </xf>
    <xf numFmtId="1" fontId="12" fillId="7" borderId="3" xfId="6" applyNumberFormat="1" applyFont="1" applyFill="1" applyBorder="1" applyAlignment="1">
      <alignment horizontal="center" vertical="center" wrapText="1"/>
    </xf>
    <xf numFmtId="1" fontId="12" fillId="7" borderId="2" xfId="0" applyNumberFormat="1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/>
    </xf>
    <xf numFmtId="1" fontId="3" fillId="8" borderId="11" xfId="9" applyNumberFormat="1" applyBorder="1" applyAlignment="1">
      <alignment horizontal="center" vertical="center" wrapText="1"/>
    </xf>
    <xf numFmtId="1" fontId="14" fillId="7" borderId="3" xfId="1" applyNumberFormat="1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14" fillId="7" borderId="19" xfId="1" applyFont="1" applyFill="1" applyBorder="1" applyAlignment="1">
      <alignment horizontal="center" vertical="center" wrapText="1"/>
    </xf>
    <xf numFmtId="0" fontId="2" fillId="7" borderId="0" xfId="0" applyFont="1" applyFill="1" applyAlignment="1">
      <alignment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right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 wrapText="1"/>
    </xf>
    <xf numFmtId="0" fontId="16" fillId="7" borderId="1" xfId="6" applyFont="1" applyFill="1" applyBorder="1" applyAlignment="1">
      <alignment horizontal="right" vertical="center" wrapText="1"/>
    </xf>
    <xf numFmtId="42" fontId="3" fillId="7" borderId="0" xfId="0" applyNumberFormat="1" applyFont="1" applyFill="1" applyAlignment="1">
      <alignment vertical="center" wrapText="1"/>
    </xf>
    <xf numFmtId="42" fontId="3" fillId="8" borderId="13" xfId="9" applyNumberFormat="1" applyBorder="1" applyAlignment="1">
      <alignment horizontal="center" vertical="center" wrapText="1"/>
    </xf>
    <xf numFmtId="42" fontId="14" fillId="7" borderId="7" xfId="1" applyNumberFormat="1" applyFont="1" applyFill="1" applyBorder="1" applyAlignment="1">
      <alignment horizontal="center" vertical="center" wrapText="1"/>
    </xf>
    <xf numFmtId="42" fontId="12" fillId="7" borderId="8" xfId="6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center" vertical="center" wrapText="1"/>
    </xf>
    <xf numFmtId="0" fontId="15" fillId="7" borderId="1" xfId="6" applyFont="1" applyFill="1" applyBorder="1" applyAlignment="1">
      <alignment horizontal="center" vertical="center" wrapText="1"/>
    </xf>
    <xf numFmtId="0" fontId="16" fillId="7" borderId="1" xfId="6" applyFont="1" applyFill="1" applyBorder="1" applyAlignment="1">
      <alignment horizontal="center" vertical="center" wrapText="1"/>
    </xf>
    <xf numFmtId="0" fontId="2" fillId="8" borderId="26" xfId="9" applyFont="1" applyBorder="1" applyAlignment="1">
      <alignment horizontal="center" vertical="center" wrapText="1"/>
    </xf>
    <xf numFmtId="0" fontId="2" fillId="8" borderId="27" xfId="9" applyFont="1" applyBorder="1" applyAlignment="1">
      <alignment horizontal="center" vertical="center" wrapText="1"/>
    </xf>
    <xf numFmtId="0" fontId="2" fillId="8" borderId="28" xfId="9" applyFont="1" applyBorder="1" applyAlignment="1">
      <alignment horizontal="center" vertical="center" wrapText="1"/>
    </xf>
    <xf numFmtId="164" fontId="2" fillId="7" borderId="27" xfId="0" applyNumberFormat="1" applyFont="1" applyFill="1" applyBorder="1" applyAlignment="1">
      <alignment horizontal="center" vertical="center" wrapText="1"/>
    </xf>
    <xf numFmtId="1" fontId="2" fillId="8" borderId="27" xfId="9" applyNumberFormat="1" applyFont="1" applyBorder="1" applyAlignment="1">
      <alignment horizontal="center" vertical="center" wrapText="1"/>
    </xf>
    <xf numFmtId="42" fontId="2" fillId="8" borderId="27" xfId="9" applyNumberFormat="1" applyFont="1" applyBorder="1" applyAlignment="1">
      <alignment horizontal="center" vertical="center" wrapText="1"/>
    </xf>
    <xf numFmtId="42" fontId="2" fillId="8" borderId="29" xfId="9" applyNumberFormat="1" applyFont="1" applyBorder="1" applyAlignment="1">
      <alignment horizontal="center" vertical="center" wrapText="1"/>
    </xf>
    <xf numFmtId="165" fontId="15" fillId="7" borderId="1" xfId="1" applyNumberFormat="1" applyFont="1" applyFill="1" applyBorder="1" applyAlignment="1">
      <alignment horizontal="center" vertical="center" wrapText="1"/>
    </xf>
    <xf numFmtId="165" fontId="12" fillId="7" borderId="3" xfId="6" applyNumberFormat="1" applyFont="1" applyFill="1" applyBorder="1" applyAlignment="1">
      <alignment horizontal="center" vertical="center" wrapText="1"/>
    </xf>
    <xf numFmtId="165" fontId="12" fillId="7" borderId="2" xfId="0" applyNumberFormat="1" applyFont="1" applyFill="1" applyBorder="1" applyAlignment="1">
      <alignment horizontal="center" vertical="center" wrapText="1"/>
    </xf>
    <xf numFmtId="165" fontId="12" fillId="7" borderId="1" xfId="0" applyNumberFormat="1" applyFont="1" applyFill="1" applyBorder="1" applyAlignment="1">
      <alignment horizontal="center" vertical="center" wrapText="1"/>
    </xf>
    <xf numFmtId="42" fontId="14" fillId="7" borderId="1" xfId="1" applyNumberFormat="1" applyFont="1" applyFill="1" applyBorder="1" applyAlignment="1">
      <alignment horizontal="center" vertical="center" wrapText="1"/>
    </xf>
    <xf numFmtId="42" fontId="12" fillId="7" borderId="3" xfId="6" applyNumberFormat="1" applyFont="1" applyFill="1" applyBorder="1" applyAlignment="1">
      <alignment horizontal="center" vertical="center" wrapText="1"/>
    </xf>
    <xf numFmtId="42" fontId="3" fillId="8" borderId="12" xfId="9" applyNumberFormat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 wrapText="1"/>
    </xf>
    <xf numFmtId="164" fontId="15" fillId="7" borderId="16" xfId="0" applyNumberFormat="1" applyFont="1" applyFill="1" applyBorder="1" applyAlignment="1">
      <alignment horizontal="center" vertical="center" wrapText="1"/>
    </xf>
    <xf numFmtId="0" fontId="16" fillId="7" borderId="16" xfId="6" applyFont="1" applyFill="1" applyBorder="1" applyAlignment="1">
      <alignment horizontal="right" vertical="center" wrapText="1"/>
    </xf>
    <xf numFmtId="0" fontId="15" fillId="7" borderId="16" xfId="1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vertical="center" wrapText="1"/>
    </xf>
    <xf numFmtId="167" fontId="12" fillId="7" borderId="1" xfId="0" applyNumberFormat="1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right" vertical="center" wrapText="1"/>
    </xf>
    <xf numFmtId="2" fontId="16" fillId="7" borderId="1" xfId="1" applyNumberFormat="1" applyFont="1" applyFill="1" applyBorder="1" applyAlignment="1">
      <alignment horizontal="right" vertical="center" wrapText="1"/>
    </xf>
    <xf numFmtId="167" fontId="16" fillId="7" borderId="1" xfId="0" applyNumberFormat="1" applyFont="1" applyFill="1" applyBorder="1" applyAlignment="1">
      <alignment horizontal="center" vertical="center" wrapText="1"/>
    </xf>
    <xf numFmtId="2" fontId="15" fillId="7" borderId="1" xfId="1" applyNumberFormat="1" applyFont="1" applyFill="1" applyBorder="1" applyAlignment="1">
      <alignment horizontal="right" vertical="center" wrapText="1"/>
    </xf>
    <xf numFmtId="167" fontId="16" fillId="7" borderId="1" xfId="6" applyNumberFormat="1" applyFont="1" applyFill="1" applyBorder="1" applyAlignment="1">
      <alignment horizontal="center" vertical="center" wrapText="1"/>
    </xf>
    <xf numFmtId="167" fontId="16" fillId="7" borderId="16" xfId="6" applyNumberFormat="1" applyFont="1" applyFill="1" applyBorder="1" applyAlignment="1">
      <alignment horizontal="center" vertical="center" wrapText="1"/>
    </xf>
    <xf numFmtId="2" fontId="2" fillId="7" borderId="16" xfId="0" applyNumberFormat="1" applyFont="1" applyFill="1" applyBorder="1" applyAlignment="1">
      <alignment horizontal="right" vertical="center" wrapText="1"/>
    </xf>
    <xf numFmtId="2" fontId="16" fillId="7" borderId="16" xfId="1" applyNumberFormat="1" applyFont="1" applyFill="1" applyBorder="1" applyAlignment="1">
      <alignment horizontal="righ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0" xfId="0" applyFont="1" applyFill="1" applyAlignment="1">
      <alignment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8" borderId="14" xfId="12" applyBorder="1" applyAlignment="1">
      <alignment horizontal="center" vertical="center" wrapText="1"/>
    </xf>
    <xf numFmtId="0" fontId="1" fillId="8" borderId="12" xfId="12" applyBorder="1" applyAlignment="1">
      <alignment horizontal="center" vertical="center" wrapText="1"/>
    </xf>
    <xf numFmtId="1" fontId="1" fillId="8" borderId="11" xfId="12" applyNumberFormat="1" applyBorder="1" applyAlignment="1">
      <alignment horizontal="center" vertical="center" wrapText="1"/>
    </xf>
    <xf numFmtId="42" fontId="1" fillId="8" borderId="12" xfId="12" applyNumberFormat="1" applyBorder="1" applyAlignment="1">
      <alignment horizontal="center" vertical="center" wrapText="1"/>
    </xf>
    <xf numFmtId="42" fontId="1" fillId="8" borderId="13" xfId="12" applyNumberFormat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0" fontId="1" fillId="7" borderId="1" xfId="6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42" fontId="12" fillId="7" borderId="9" xfId="0" applyNumberFormat="1" applyFont="1" applyFill="1" applyBorder="1" applyAlignment="1">
      <alignment horizontal="center" vertical="center" wrapText="1"/>
    </xf>
    <xf numFmtId="42" fontId="12" fillId="7" borderId="7" xfId="0" applyNumberFormat="1" applyFont="1" applyFill="1" applyBorder="1" applyAlignment="1">
      <alignment horizontal="center" vertical="center" wrapText="1"/>
    </xf>
    <xf numFmtId="42" fontId="12" fillId="7" borderId="7" xfId="0" applyNumberFormat="1" applyFont="1" applyFill="1" applyBorder="1" applyAlignment="1">
      <alignment vertical="center" wrapText="1"/>
    </xf>
    <xf numFmtId="42" fontId="12" fillId="7" borderId="17" xfId="0" applyNumberFormat="1" applyFont="1" applyFill="1" applyBorder="1" applyAlignment="1">
      <alignment vertical="center" wrapText="1"/>
    </xf>
    <xf numFmtId="0" fontId="1" fillId="8" borderId="15" xfId="12" applyBorder="1" applyAlignment="1">
      <alignment horizontal="center" vertical="center" wrapText="1"/>
    </xf>
    <xf numFmtId="1" fontId="1" fillId="8" borderId="12" xfId="12" applyNumberFormat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2" fontId="1" fillId="7" borderId="21" xfId="6" applyNumberFormat="1" applyFont="1" applyFill="1" applyBorder="1" applyAlignment="1">
      <alignment horizontal="center" vertical="center" wrapText="1"/>
    </xf>
    <xf numFmtId="1" fontId="1" fillId="7" borderId="21" xfId="6" applyNumberFormat="1" applyFont="1" applyFill="1" applyBorder="1" applyAlignment="1">
      <alignment horizontal="center" vertical="center" wrapText="1"/>
    </xf>
    <xf numFmtId="0" fontId="1" fillId="7" borderId="1" xfId="6" applyFont="1" applyFill="1" applyBorder="1" applyAlignment="1">
      <alignment horizontal="left" vertical="center" wrapText="1"/>
    </xf>
    <xf numFmtId="0" fontId="1" fillId="7" borderId="20" xfId="0" applyFont="1" applyFill="1" applyBorder="1" applyAlignment="1">
      <alignment horizontal="center" vertical="center" wrapText="1"/>
    </xf>
    <xf numFmtId="42" fontId="1" fillId="7" borderId="2" xfId="0" applyNumberFormat="1" applyFont="1" applyFill="1" applyBorder="1" applyAlignment="1">
      <alignment vertical="center" wrapText="1"/>
    </xf>
    <xf numFmtId="42" fontId="1" fillId="7" borderId="9" xfId="0" applyNumberFormat="1" applyFont="1" applyFill="1" applyBorder="1" applyAlignment="1">
      <alignment vertical="center" wrapText="1"/>
    </xf>
    <xf numFmtId="42" fontId="1" fillId="7" borderId="1" xfId="0" applyNumberFormat="1" applyFont="1" applyFill="1" applyBorder="1" applyAlignment="1">
      <alignment vertical="center" wrapText="1"/>
    </xf>
    <xf numFmtId="42" fontId="1" fillId="7" borderId="7" xfId="0" applyNumberFormat="1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left" vertical="center" wrapText="1"/>
    </xf>
    <xf numFmtId="165" fontId="15" fillId="7" borderId="1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2" fontId="14" fillId="7" borderId="11" xfId="1" applyNumberFormat="1" applyFont="1" applyFill="1" applyBorder="1" applyAlignment="1">
      <alignment horizontal="center" vertical="center" wrapText="1"/>
    </xf>
    <xf numFmtId="2" fontId="14" fillId="7" borderId="1" xfId="1" applyNumberFormat="1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left" vertical="center" wrapText="1"/>
    </xf>
    <xf numFmtId="42" fontId="14" fillId="7" borderId="16" xfId="1" applyNumberFormat="1" applyFont="1" applyFill="1" applyBorder="1" applyAlignment="1">
      <alignment horizontal="center" vertical="center" wrapText="1"/>
    </xf>
    <xf numFmtId="42" fontId="14" fillId="7" borderId="17" xfId="1" applyNumberFormat="1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vertical="center" wrapText="1"/>
    </xf>
    <xf numFmtId="1" fontId="14" fillId="7" borderId="2" xfId="1" applyNumberFormat="1" applyFont="1" applyFill="1" applyBorder="1" applyAlignment="1">
      <alignment horizontal="center" vertical="center" wrapText="1"/>
    </xf>
    <xf numFmtId="0" fontId="14" fillId="7" borderId="2" xfId="1" applyFont="1" applyFill="1" applyBorder="1" applyAlignment="1">
      <alignment horizontal="center" vertical="center" wrapText="1"/>
    </xf>
    <xf numFmtId="0" fontId="14" fillId="7" borderId="20" xfId="1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12" fillId="7" borderId="20" xfId="6" applyFont="1" applyFill="1" applyBorder="1" applyAlignment="1">
      <alignment horizontal="center" vertical="center" wrapText="1"/>
    </xf>
    <xf numFmtId="42" fontId="12" fillId="7" borderId="2" xfId="6" applyNumberFormat="1" applyFont="1" applyFill="1" applyBorder="1" applyAlignment="1">
      <alignment horizontal="center" vertical="center" wrapText="1"/>
    </xf>
    <xf numFmtId="42" fontId="12" fillId="7" borderId="9" xfId="6" applyNumberFormat="1" applyFont="1" applyFill="1" applyBorder="1" applyAlignment="1">
      <alignment horizontal="center" vertical="center" wrapText="1"/>
    </xf>
    <xf numFmtId="0" fontId="12" fillId="7" borderId="11" xfId="6" applyFont="1" applyFill="1" applyBorder="1" applyAlignment="1">
      <alignment horizontal="center" vertical="center" wrapText="1"/>
    </xf>
    <xf numFmtId="42" fontId="12" fillId="7" borderId="1" xfId="6" applyNumberFormat="1" applyFont="1" applyFill="1" applyBorder="1" applyAlignment="1">
      <alignment horizontal="center" vertical="center" wrapText="1"/>
    </xf>
    <xf numFmtId="42" fontId="12" fillId="7" borderId="7" xfId="6" applyNumberFormat="1" applyFont="1" applyFill="1" applyBorder="1" applyAlignment="1">
      <alignment horizontal="center" vertical="center" wrapText="1"/>
    </xf>
    <xf numFmtId="42" fontId="1" fillId="7" borderId="2" xfId="0" applyNumberFormat="1" applyFont="1" applyFill="1" applyBorder="1" applyAlignment="1">
      <alignment horizontal="center" vertical="center" wrapText="1"/>
    </xf>
    <xf numFmtId="42" fontId="1" fillId="7" borderId="9" xfId="0" applyNumberFormat="1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164" fontId="1" fillId="7" borderId="16" xfId="0" applyNumberFormat="1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164" fontId="1" fillId="7" borderId="15" xfId="0" applyNumberFormat="1" applyFont="1" applyFill="1" applyBorder="1" applyAlignment="1">
      <alignment horizontal="center" vertical="center" wrapText="1"/>
    </xf>
    <xf numFmtId="42" fontId="1" fillId="7" borderId="1" xfId="0" applyNumberFormat="1" applyFont="1" applyFill="1" applyBorder="1" applyAlignment="1">
      <alignment horizontal="center" vertical="center" wrapText="1"/>
    </xf>
    <xf numFmtId="42" fontId="1" fillId="7" borderId="7" xfId="0" applyNumberFormat="1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1" fontId="14" fillId="7" borderId="16" xfId="1" applyNumberFormat="1" applyFont="1" applyFill="1" applyBorder="1" applyAlignment="1">
      <alignment horizontal="center" vertical="center" wrapText="1"/>
    </xf>
    <xf numFmtId="0" fontId="1" fillId="7" borderId="16" xfId="6" applyFont="1" applyFill="1" applyBorder="1" applyAlignment="1">
      <alignment vertical="center" wrapText="1"/>
    </xf>
    <xf numFmtId="0" fontId="1" fillId="7" borderId="18" xfId="6" applyFont="1" applyFill="1" applyBorder="1" applyAlignment="1">
      <alignment vertical="center" wrapText="1"/>
    </xf>
    <xf numFmtId="0" fontId="18" fillId="7" borderId="10" xfId="7" applyFont="1" applyFill="1" applyBorder="1" applyAlignment="1">
      <alignment horizontal="center" vertical="center" wrapText="1"/>
    </xf>
    <xf numFmtId="166" fontId="1" fillId="7" borderId="3" xfId="0" applyNumberFormat="1" applyFont="1" applyFill="1" applyBorder="1" applyAlignment="1">
      <alignment horizontal="center" vertical="center"/>
    </xf>
    <xf numFmtId="166" fontId="1" fillId="7" borderId="3" xfId="0" applyNumberFormat="1" applyFont="1" applyFill="1" applyBorder="1" applyAlignment="1">
      <alignment horizontal="center" vertical="center" wrapText="1"/>
    </xf>
    <xf numFmtId="41" fontId="1" fillId="7" borderId="3" xfId="0" applyNumberFormat="1" applyFont="1" applyFill="1" applyBorder="1" applyAlignment="1">
      <alignment horizontal="center" vertical="center"/>
    </xf>
    <xf numFmtId="1" fontId="1" fillId="7" borderId="16" xfId="0" applyNumberFormat="1" applyFont="1" applyFill="1" applyBorder="1" applyAlignment="1">
      <alignment horizontal="center" vertical="center" wrapText="1"/>
    </xf>
    <xf numFmtId="167" fontId="14" fillId="7" borderId="11" xfId="1" applyNumberFormat="1" applyFont="1" applyFill="1" applyBorder="1" applyAlignment="1">
      <alignment horizontal="center" vertical="center" wrapText="1"/>
    </xf>
    <xf numFmtId="2" fontId="14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7" fontId="14" fillId="0" borderId="11" xfId="1" applyNumberFormat="1" applyFont="1" applyBorder="1" applyAlignment="1">
      <alignment horizontal="center" vertical="center" wrapText="1"/>
    </xf>
    <xf numFmtId="2" fontId="14" fillId="0" borderId="11" xfId="1" applyNumberFormat="1" applyFont="1" applyBorder="1" applyAlignment="1">
      <alignment horizontal="center" vertical="center" wrapText="1"/>
    </xf>
    <xf numFmtId="42" fontId="14" fillId="0" borderId="7" xfId="1" applyNumberFormat="1" applyFont="1" applyBorder="1" applyAlignment="1">
      <alignment horizontal="center" vertical="center" wrapText="1"/>
    </xf>
    <xf numFmtId="0" fontId="1" fillId="12" borderId="0" xfId="0" applyFont="1" applyFill="1" applyAlignment="1">
      <alignment vertical="center" wrapText="1"/>
    </xf>
    <xf numFmtId="167" fontId="1" fillId="0" borderId="21" xfId="6" applyNumberFormat="1" applyFont="1" applyBorder="1" applyAlignment="1">
      <alignment horizontal="center" vertical="center" wrapText="1"/>
    </xf>
    <xf numFmtId="2" fontId="1" fillId="0" borderId="21" xfId="6" applyNumberFormat="1" applyFont="1" applyBorder="1" applyAlignment="1">
      <alignment horizontal="center" vertical="center" wrapText="1"/>
    </xf>
    <xf numFmtId="2" fontId="1" fillId="8" borderId="12" xfId="12" applyNumberFormat="1" applyBorder="1" applyAlignment="1">
      <alignment horizontal="center" vertical="center" wrapText="1"/>
    </xf>
    <xf numFmtId="2" fontId="14" fillId="7" borderId="19" xfId="1" applyNumberFormat="1" applyFont="1" applyFill="1" applyBorder="1" applyAlignment="1">
      <alignment horizontal="center" vertical="center" wrapText="1"/>
    </xf>
    <xf numFmtId="2" fontId="12" fillId="7" borderId="19" xfId="6" applyNumberFormat="1" applyFont="1" applyFill="1" applyBorder="1" applyAlignment="1">
      <alignment horizontal="center" vertical="center" wrapText="1"/>
    </xf>
    <xf numFmtId="2" fontId="12" fillId="7" borderId="3" xfId="6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1" xfId="1" applyFont="1" applyBorder="1" applyAlignment="1">
      <alignment horizontal="center" vertical="center" wrapText="1"/>
    </xf>
    <xf numFmtId="44" fontId="2" fillId="7" borderId="0" xfId="0" applyNumberFormat="1" applyFont="1" applyFill="1" applyAlignment="1">
      <alignment vertical="center" wrapText="1"/>
    </xf>
    <xf numFmtId="0" fontId="1" fillId="7" borderId="16" xfId="6" applyFont="1" applyFill="1" applyBorder="1" applyAlignment="1">
      <alignment horizontal="center" vertical="center" wrapText="1"/>
    </xf>
    <xf numFmtId="0" fontId="1" fillId="7" borderId="18" xfId="6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164" fontId="1" fillId="7" borderId="16" xfId="0" applyNumberFormat="1" applyFont="1" applyFill="1" applyBorder="1" applyAlignment="1">
      <alignment horizontal="center" vertical="center" wrapText="1"/>
    </xf>
    <xf numFmtId="164" fontId="1" fillId="7" borderId="18" xfId="0" applyNumberFormat="1" applyFont="1" applyFill="1" applyBorder="1" applyAlignment="1">
      <alignment horizontal="center" vertical="center" wrapText="1"/>
    </xf>
    <xf numFmtId="0" fontId="1" fillId="7" borderId="2" xfId="6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center" vertical="center" wrapText="1"/>
    </xf>
    <xf numFmtId="0" fontId="15" fillId="7" borderId="18" xfId="0" applyFont="1" applyFill="1" applyBorder="1" applyAlignment="1">
      <alignment horizontal="center" vertical="center" wrapText="1"/>
    </xf>
    <xf numFmtId="0" fontId="17" fillId="7" borderId="30" xfId="0" applyFont="1" applyFill="1" applyBorder="1" applyAlignment="1">
      <alignment horizontal="center" vertical="center" wrapText="1"/>
    </xf>
    <xf numFmtId="0" fontId="17" fillId="7" borderId="31" xfId="0" applyFont="1" applyFill="1" applyBorder="1" applyAlignment="1">
      <alignment horizontal="center" vertical="center" wrapText="1"/>
    </xf>
    <xf numFmtId="0" fontId="17" fillId="7" borderId="32" xfId="0" applyFont="1" applyFill="1" applyBorder="1" applyAlignment="1">
      <alignment horizontal="center" vertical="center" wrapText="1"/>
    </xf>
    <xf numFmtId="2" fontId="12" fillId="7" borderId="5" xfId="0" applyNumberFormat="1" applyFont="1" applyFill="1" applyBorder="1" applyAlignment="1">
      <alignment horizontal="center" vertical="center" wrapText="1"/>
    </xf>
    <xf numFmtId="2" fontId="12" fillId="7" borderId="3" xfId="0" applyNumberFormat="1" applyFont="1" applyFill="1" applyBorder="1" applyAlignment="1">
      <alignment horizontal="center" vertical="center" wrapText="1"/>
    </xf>
    <xf numFmtId="42" fontId="12" fillId="7" borderId="6" xfId="0" applyNumberFormat="1" applyFont="1" applyFill="1" applyBorder="1" applyAlignment="1">
      <alignment horizontal="center" vertical="center" wrapText="1"/>
    </xf>
    <xf numFmtId="42" fontId="12" fillId="7" borderId="8" xfId="0" applyNumberFormat="1" applyFont="1" applyFill="1" applyBorder="1" applyAlignment="1">
      <alignment horizontal="center" vertical="center" wrapText="1"/>
    </xf>
    <xf numFmtId="1" fontId="12" fillId="7" borderId="5" xfId="0" applyNumberFormat="1" applyFont="1" applyFill="1" applyBorder="1" applyAlignment="1">
      <alignment horizontal="center" vertical="center" wrapText="1"/>
    </xf>
    <xf numFmtId="1" fontId="12" fillId="7" borderId="3" xfId="0" applyNumberFormat="1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" fillId="7" borderId="16" xfId="14" applyFont="1" applyFill="1" applyBorder="1" applyAlignment="1">
      <alignment horizontal="center" vertical="center" wrapText="1"/>
    </xf>
    <xf numFmtId="0" fontId="1" fillId="7" borderId="18" xfId="14" applyFont="1" applyFill="1" applyBorder="1" applyAlignment="1">
      <alignment horizontal="center" vertical="center" wrapText="1"/>
    </xf>
    <xf numFmtId="42" fontId="15" fillId="7" borderId="17" xfId="1" applyNumberFormat="1" applyFont="1" applyFill="1" applyBorder="1" applyAlignment="1">
      <alignment horizontal="center" vertical="center" wrapText="1"/>
    </xf>
    <xf numFmtId="42" fontId="15" fillId="7" borderId="35" xfId="1" applyNumberFormat="1" applyFont="1" applyFill="1" applyBorder="1" applyAlignment="1">
      <alignment horizontal="center" vertical="center" wrapText="1"/>
    </xf>
    <xf numFmtId="42" fontId="15" fillId="7" borderId="9" xfId="1" applyNumberFormat="1" applyFont="1" applyFill="1" applyBorder="1" applyAlignment="1">
      <alignment horizontal="center" vertical="center" wrapText="1"/>
    </xf>
    <xf numFmtId="0" fontId="1" fillId="7" borderId="2" xfId="14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left" vertical="center" wrapText="1"/>
    </xf>
    <xf numFmtId="0" fontId="12" fillId="7" borderId="23" xfId="0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2" fontId="12" fillId="7" borderId="33" xfId="0" applyNumberFormat="1" applyFont="1" applyFill="1" applyBorder="1" applyAlignment="1">
      <alignment horizontal="center" vertical="center" wrapText="1"/>
    </xf>
    <xf numFmtId="2" fontId="12" fillId="7" borderId="34" xfId="0" applyNumberFormat="1" applyFont="1" applyFill="1" applyBorder="1" applyAlignment="1">
      <alignment horizontal="center" vertical="center" wrapText="1"/>
    </xf>
  </cellXfs>
  <cellStyles count="15">
    <cellStyle name="40% - Accent3" xfId="14" builtinId="39"/>
    <cellStyle name="Accent3" xfId="7" builtinId="37"/>
    <cellStyle name="Heading 1 2" xfId="2" xr:uid="{00000000-0005-0000-0000-000001000000}"/>
    <cellStyle name="Heading 2 2" xfId="3" xr:uid="{00000000-0005-0000-0000-000002000000}"/>
    <cellStyle name="Heading 3 2" xfId="4" xr:uid="{00000000-0005-0000-0000-000003000000}"/>
    <cellStyle name="Hyperlink" xfId="8" builtinId="8"/>
    <cellStyle name="Normal" xfId="0" builtinId="0"/>
    <cellStyle name="Normal 2" xfId="6" xr:uid="{00000000-0005-0000-0000-000006000000}"/>
    <cellStyle name="Normal 2 2" xfId="13" xr:uid="{00000000-0005-0000-0000-000007000000}"/>
    <cellStyle name="Normal 3" xfId="1" xr:uid="{00000000-0005-0000-0000-000008000000}"/>
    <cellStyle name="Style 1" xfId="9" xr:uid="{00000000-0005-0000-0000-000009000000}"/>
    <cellStyle name="Style 1 2" xfId="12" xr:uid="{00000000-0005-0000-0000-00000A000000}"/>
    <cellStyle name="Style 2" xfId="10" xr:uid="{00000000-0005-0000-0000-00000B000000}"/>
    <cellStyle name="Style 3" xfId="11" xr:uid="{00000000-0005-0000-0000-00000C000000}"/>
    <cellStyle name="Title 2" xfId="5" xr:uid="{00000000-0005-0000-0000-00000D000000}"/>
  </cellStyles>
  <dxfs count="3"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bottom style="medium">
          <color theme="3" tint="0.39994506668294322"/>
        </bottom>
        <vertical/>
        <horizontal/>
      </border>
    </dxf>
    <dxf>
      <font>
        <color theme="1" tint="4.9989318521683403E-2"/>
      </font>
      <border>
        <top style="thick">
          <color theme="0"/>
        </top>
        <vertical style="medium">
          <color theme="0"/>
        </vertical>
      </border>
    </dxf>
  </dxfs>
  <tableStyles count="1" defaultTableStyle="Simple Monthly Budget" defaultPivotStyle="PivotStyleMedium13">
    <tableStyle name="Simple Monthly Budget" pivot="0" count="3" xr9:uid="{00000000-0011-0000-FFFF-FFFF00000000}">
      <tableStyleElement type="wholeTable" dxfId="2"/>
      <tableStyleElement type="header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641537</xdr:colOff>
      <xdr:row>18</xdr:row>
      <xdr:rowOff>156455</xdr:rowOff>
    </xdr:from>
    <xdr:to>
      <xdr:col>5</xdr:col>
      <xdr:colOff>2064132</xdr:colOff>
      <xdr:row>30</xdr:row>
      <xdr:rowOff>66746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25114" y="5109455"/>
          <a:ext cx="3840480" cy="210836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2205777</xdr:colOff>
      <xdr:row>18</xdr:row>
      <xdr:rowOff>156393</xdr:rowOff>
    </xdr:from>
    <xdr:to>
      <xdr:col>12</xdr:col>
      <xdr:colOff>228681</xdr:colOff>
      <xdr:row>30</xdr:row>
      <xdr:rowOff>66746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107239" y="5109393"/>
          <a:ext cx="3840480" cy="210843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641537</xdr:colOff>
      <xdr:row>30</xdr:row>
      <xdr:rowOff>182213</xdr:rowOff>
    </xdr:from>
    <xdr:to>
      <xdr:col>5</xdr:col>
      <xdr:colOff>2064132</xdr:colOff>
      <xdr:row>44</xdr:row>
      <xdr:rowOff>22407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125114" y="7333290"/>
          <a:ext cx="3840480" cy="240461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ADDENDA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Addendum Issued: NONE </a:t>
          </a:r>
          <a:r>
            <a:rPr lang="en-US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up to Date (09/15/2014): None</a:t>
          </a:r>
          <a:endParaRPr lang="en-US" sz="16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sng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review</a:t>
          </a:r>
          <a:r>
            <a:rPr lang="en-US" sz="1600" b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any Addendum issued after Date 07/31/2023</a:t>
          </a: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2205777</xdr:colOff>
      <xdr:row>30</xdr:row>
      <xdr:rowOff>182213</xdr:rowOff>
    </xdr:from>
    <xdr:to>
      <xdr:col>12</xdr:col>
      <xdr:colOff>228681</xdr:colOff>
      <xdr:row>44</xdr:row>
      <xdr:rowOff>22407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107239" y="7333290"/>
          <a:ext cx="3840480" cy="240461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641537</xdr:colOff>
      <xdr:row>16</xdr:row>
      <xdr:rowOff>89156</xdr:rowOff>
    </xdr:from>
    <xdr:to>
      <xdr:col>5</xdr:col>
      <xdr:colOff>2064132</xdr:colOff>
      <xdr:row>18</xdr:row>
      <xdr:rowOff>99625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25114" y="4675810"/>
          <a:ext cx="3840480" cy="37681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  <a:ea typeface="Verdana" pitchFamily="34" charset="0"/>
              <a:cs typeface="Verdana" pitchFamily="34" charset="0"/>
            </a:rPr>
            <a:t>OWNER</a:t>
          </a:r>
        </a:p>
      </xdr:txBody>
    </xdr:sp>
    <xdr:clientData/>
  </xdr:twoCellAnchor>
  <xdr:twoCellAnchor>
    <xdr:from>
      <xdr:col>5</xdr:col>
      <xdr:colOff>2205777</xdr:colOff>
      <xdr:row>16</xdr:row>
      <xdr:rowOff>93220</xdr:rowOff>
    </xdr:from>
    <xdr:to>
      <xdr:col>12</xdr:col>
      <xdr:colOff>228681</xdr:colOff>
      <xdr:row>18</xdr:row>
      <xdr:rowOff>99625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107239" y="4679874"/>
          <a:ext cx="3840480" cy="37275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</a:rPr>
            <a:t>ARCHITECT</a:t>
          </a:r>
        </a:p>
      </xdr:txBody>
    </xdr:sp>
    <xdr:clientData/>
  </xdr:twoCellAnchor>
  <xdr:twoCellAnchor>
    <xdr:from>
      <xdr:col>2</xdr:col>
      <xdr:colOff>641537</xdr:colOff>
      <xdr:row>8</xdr:row>
      <xdr:rowOff>164546</xdr:rowOff>
    </xdr:from>
    <xdr:to>
      <xdr:col>12</xdr:col>
      <xdr:colOff>219075</xdr:colOff>
      <xdr:row>12</xdr:row>
      <xdr:rowOff>154360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79687" y="3307796"/>
          <a:ext cx="7464238" cy="71371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PK" sz="1400">
            <a:effectLst/>
          </a:endParaRPr>
        </a:p>
      </xdr:txBody>
    </xdr:sp>
    <xdr:clientData/>
  </xdr:twoCellAnchor>
  <xdr:twoCellAnchor>
    <xdr:from>
      <xdr:col>2</xdr:col>
      <xdr:colOff>641537</xdr:colOff>
      <xdr:row>0</xdr:row>
      <xdr:rowOff>171679</xdr:rowOff>
    </xdr:from>
    <xdr:to>
      <xdr:col>12</xdr:col>
      <xdr:colOff>209550</xdr:colOff>
      <xdr:row>8</xdr:row>
      <xdr:rowOff>40266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79687" y="1809979"/>
          <a:ext cx="7454713" cy="137353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GUERRERO</a:t>
          </a:r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RESIDENCE</a:t>
          </a:r>
          <a:endParaRPr lang="en-PK" sz="2000">
            <a:effectLst/>
          </a:endParaRPr>
        </a:p>
      </xdr:txBody>
    </xdr:sp>
    <xdr:clientData/>
  </xdr:twoCellAnchor>
  <xdr:twoCellAnchor>
    <xdr:from>
      <xdr:col>5</xdr:col>
      <xdr:colOff>2809875</xdr:colOff>
      <xdr:row>0</xdr:row>
      <xdr:rowOff>0</xdr:rowOff>
    </xdr:from>
    <xdr:to>
      <xdr:col>12</xdr:col>
      <xdr:colOff>209550</xdr:colOff>
      <xdr:row>0</xdr:row>
      <xdr:rowOff>40416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638800" y="429209"/>
          <a:ext cx="2895600" cy="124950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2809875</xdr:colOff>
      <xdr:row>0</xdr:row>
      <xdr:rowOff>0</xdr:rowOff>
    </xdr:from>
    <xdr:to>
      <xdr:col>12</xdr:col>
      <xdr:colOff>209550</xdr:colOff>
      <xdr:row>0</xdr:row>
      <xdr:rowOff>40416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9775" y="419684"/>
          <a:ext cx="2895600" cy="124950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2038350</xdr:colOff>
      <xdr:row>0</xdr:row>
      <xdr:rowOff>0</xdr:rowOff>
    </xdr:from>
    <xdr:to>
      <xdr:col>12</xdr:col>
      <xdr:colOff>209551</xdr:colOff>
      <xdr:row>0</xdr:row>
      <xdr:rowOff>95249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048250" y="95249"/>
          <a:ext cx="3667126" cy="162877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br>
            <a:rPr lang="en-US" sz="2000">
              <a:solidFill>
                <a:sysClr val="windowText" lastClr="000000"/>
              </a:solidFill>
            </a:rPr>
          </a:br>
          <a:endParaRPr lang="en-US" sz="20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367"/>
  <sheetViews>
    <sheetView showGridLines="0" tabSelected="1" view="pageBreakPreview" topLeftCell="A46" zoomScale="86" zoomScaleNormal="86" zoomScaleSheetLayoutView="86" workbookViewId="0">
      <selection activeCell="J74" sqref="J74"/>
    </sheetView>
  </sheetViews>
  <sheetFormatPr defaultColWidth="9.109375" defaultRowHeight="13.8" x14ac:dyDescent="0.3"/>
  <cols>
    <col min="1" max="1" width="2.88671875" style="7" customWidth="1"/>
    <col min="2" max="2" width="6.109375" style="39" customWidth="1"/>
    <col min="3" max="3" width="10.88671875" style="39" customWidth="1"/>
    <col min="4" max="4" width="15" style="39" customWidth="1"/>
    <col min="5" max="5" width="12.6640625" style="39" customWidth="1"/>
    <col min="6" max="6" width="52.6640625" style="7" customWidth="1"/>
    <col min="7" max="7" width="8.88671875" style="30" customWidth="1"/>
    <col min="8" max="8" width="9.6640625" style="39" customWidth="1"/>
    <col min="9" max="9" width="6.109375" style="39" bestFit="1" customWidth="1"/>
    <col min="10" max="10" width="12" style="39" bestFit="1" customWidth="1"/>
    <col min="11" max="11" width="8.44140625" style="39" customWidth="1"/>
    <col min="12" max="12" width="12.44140625" style="39" bestFit="1" customWidth="1"/>
    <col min="13" max="13" width="11.6640625" style="50" bestFit="1" customWidth="1"/>
    <col min="14" max="14" width="14.88671875" style="7" customWidth="1"/>
    <col min="15" max="15" width="14.109375" style="7" customWidth="1"/>
    <col min="16" max="16" width="14.6640625" style="50" customWidth="1"/>
    <col min="17" max="18" width="13.109375" style="7" bestFit="1" customWidth="1"/>
    <col min="19" max="16384" width="9.109375" style="7"/>
  </cols>
  <sheetData>
    <row r="2" spans="2:12" x14ac:dyDescent="0.3">
      <c r="B2" s="8"/>
      <c r="C2" s="8"/>
      <c r="D2" s="8"/>
      <c r="E2" s="8"/>
      <c r="F2" s="9"/>
      <c r="G2" s="31"/>
      <c r="H2" s="8"/>
      <c r="I2" s="8"/>
      <c r="J2" s="8"/>
      <c r="K2" s="8"/>
      <c r="L2" s="8"/>
    </row>
    <row r="3" spans="2:12" x14ac:dyDescent="0.3">
      <c r="B3" s="8"/>
      <c r="C3" s="8"/>
      <c r="D3" s="8"/>
      <c r="E3" s="8"/>
      <c r="F3" s="9"/>
      <c r="G3" s="31"/>
      <c r="H3" s="8"/>
      <c r="I3" s="8"/>
      <c r="J3" s="8"/>
      <c r="K3" s="8"/>
      <c r="L3" s="8"/>
    </row>
    <row r="4" spans="2:12" x14ac:dyDescent="0.3">
      <c r="B4" s="8"/>
      <c r="C4" s="8"/>
      <c r="D4" s="8"/>
      <c r="E4" s="8"/>
      <c r="F4" s="9"/>
      <c r="G4" s="31"/>
      <c r="H4" s="8"/>
      <c r="I4" s="8"/>
      <c r="J4" s="8"/>
      <c r="K4" s="8"/>
      <c r="L4" s="8"/>
    </row>
    <row r="7" spans="2:12" ht="14.25" customHeight="1" x14ac:dyDescent="0.3">
      <c r="F7" s="9"/>
    </row>
    <row r="8" spans="2:12" ht="14.25" customHeight="1" x14ac:dyDescent="0.3"/>
    <row r="9" spans="2:12" ht="14.25" customHeight="1" x14ac:dyDescent="0.3"/>
    <row r="10" spans="2:12" ht="14.25" customHeight="1" x14ac:dyDescent="0.3"/>
    <row r="11" spans="2:12" ht="14.25" customHeight="1" x14ac:dyDescent="0.3">
      <c r="F11" s="10"/>
    </row>
    <row r="12" spans="2:12" ht="14.25" customHeight="1" x14ac:dyDescent="0.3">
      <c r="F12" s="10"/>
    </row>
    <row r="13" spans="2:12" ht="14.25" customHeight="1" x14ac:dyDescent="0.3">
      <c r="F13" s="10"/>
    </row>
    <row r="14" spans="2:12" ht="14.25" customHeight="1" x14ac:dyDescent="0.3">
      <c r="F14" s="10"/>
    </row>
    <row r="15" spans="2:12" ht="15" customHeight="1" x14ac:dyDescent="0.3">
      <c r="F15" s="10"/>
    </row>
    <row r="46" spans="4:6" x14ac:dyDescent="0.3">
      <c r="D46" s="11" t="s">
        <v>17</v>
      </c>
      <c r="E46" s="203">
        <v>2509</v>
      </c>
      <c r="F46" s="203"/>
    </row>
    <row r="47" spans="4:6" x14ac:dyDescent="0.3">
      <c r="D47" s="12"/>
    </row>
    <row r="48" spans="4:6" x14ac:dyDescent="0.3">
      <c r="D48" s="13" t="s">
        <v>15</v>
      </c>
      <c r="E48" s="203" t="s">
        <v>14</v>
      </c>
      <c r="F48" s="203"/>
    </row>
    <row r="53" spans="2:16" ht="14.4" thickBot="1" x14ac:dyDescent="0.35"/>
    <row r="54" spans="2:16" ht="13.95" customHeight="1" x14ac:dyDescent="0.3">
      <c r="B54" s="204" t="s">
        <v>0</v>
      </c>
      <c r="C54" s="206" t="s">
        <v>13</v>
      </c>
      <c r="D54" s="195" t="s">
        <v>4</v>
      </c>
      <c r="E54" s="195" t="s">
        <v>1</v>
      </c>
      <c r="F54" s="195" t="s">
        <v>12</v>
      </c>
      <c r="G54" s="193" t="s">
        <v>2</v>
      </c>
      <c r="H54" s="195" t="s">
        <v>9</v>
      </c>
      <c r="I54" s="195" t="s">
        <v>16</v>
      </c>
      <c r="J54" s="195" t="s">
        <v>27</v>
      </c>
      <c r="K54" s="195"/>
      <c r="L54" s="195"/>
      <c r="M54" s="208" t="s">
        <v>32</v>
      </c>
      <c r="N54" s="208" t="s">
        <v>33</v>
      </c>
      <c r="O54" s="189" t="s">
        <v>30</v>
      </c>
      <c r="P54" s="191" t="s">
        <v>28</v>
      </c>
    </row>
    <row r="55" spans="2:16" ht="30" customHeight="1" thickBot="1" x14ac:dyDescent="0.35">
      <c r="B55" s="205"/>
      <c r="C55" s="207"/>
      <c r="D55" s="196"/>
      <c r="E55" s="196"/>
      <c r="F55" s="196"/>
      <c r="G55" s="194"/>
      <c r="H55" s="196"/>
      <c r="I55" s="196"/>
      <c r="J55" s="153" t="s">
        <v>31</v>
      </c>
      <c r="K55" s="154" t="s">
        <v>35</v>
      </c>
      <c r="L55" s="155" t="s">
        <v>34</v>
      </c>
      <c r="M55" s="209"/>
      <c r="N55" s="209"/>
      <c r="O55" s="190"/>
      <c r="P55" s="192"/>
    </row>
    <row r="56" spans="2:16" x14ac:dyDescent="0.3">
      <c r="B56" s="59"/>
      <c r="C56" s="60"/>
      <c r="D56" s="61"/>
      <c r="E56" s="62">
        <v>10000</v>
      </c>
      <c r="F56" s="2" t="s">
        <v>7</v>
      </c>
      <c r="G56" s="63"/>
      <c r="H56" s="60"/>
      <c r="I56" s="60"/>
      <c r="J56" s="60"/>
      <c r="K56" s="60"/>
      <c r="L56" s="60"/>
      <c r="M56" s="64"/>
      <c r="N56" s="64"/>
      <c r="O56" s="64"/>
      <c r="P56" s="65"/>
    </row>
    <row r="57" spans="2:16" x14ac:dyDescent="0.3">
      <c r="B57" s="46" t="str">
        <f>IF(TRIM(G57)&lt;&gt;"",COUNTA($G$57:G57)&amp;"","")</f>
        <v>1</v>
      </c>
      <c r="C57" s="144"/>
      <c r="D57" s="144"/>
      <c r="E57" s="54"/>
      <c r="F57" s="16" t="s">
        <v>10</v>
      </c>
      <c r="G57" s="33">
        <v>1</v>
      </c>
      <c r="H57" s="47"/>
      <c r="I57" s="144" t="s">
        <v>5</v>
      </c>
      <c r="J57" s="55"/>
      <c r="K57" s="55"/>
      <c r="L57" s="56"/>
      <c r="M57" s="66"/>
      <c r="N57" s="55"/>
      <c r="O57" s="56"/>
      <c r="P57" s="199"/>
    </row>
    <row r="58" spans="2:16" x14ac:dyDescent="0.3">
      <c r="B58" s="46" t="str">
        <f>IF(TRIM(G58)&lt;&gt;"",COUNTA($G$57:G58)&amp;"","")</f>
        <v>2</v>
      </c>
      <c r="C58" s="144"/>
      <c r="D58" s="144"/>
      <c r="E58" s="54"/>
      <c r="F58" s="16" t="s">
        <v>22</v>
      </c>
      <c r="G58" s="33">
        <v>1</v>
      </c>
      <c r="H58" s="57"/>
      <c r="I58" s="144" t="s">
        <v>5</v>
      </c>
      <c r="J58" s="55"/>
      <c r="K58" s="55"/>
      <c r="L58" s="56"/>
      <c r="M58" s="66"/>
      <c r="N58" s="55"/>
      <c r="O58" s="56"/>
      <c r="P58" s="200"/>
    </row>
    <row r="59" spans="2:16" s="26" customFormat="1" x14ac:dyDescent="0.3">
      <c r="B59" s="46" t="str">
        <f>IF(TRIM(G59)&lt;&gt;"",COUNTA($G$57:G59)&amp;"","")</f>
        <v>3</v>
      </c>
      <c r="C59" s="144"/>
      <c r="D59" s="144"/>
      <c r="E59" s="54"/>
      <c r="F59" s="16" t="s">
        <v>6</v>
      </c>
      <c r="G59" s="33">
        <v>1</v>
      </c>
      <c r="H59" s="58"/>
      <c r="I59" s="144" t="s">
        <v>5</v>
      </c>
      <c r="J59" s="55"/>
      <c r="K59" s="55"/>
      <c r="L59" s="56"/>
      <c r="M59" s="66"/>
      <c r="N59" s="55"/>
      <c r="O59" s="56"/>
      <c r="P59" s="200"/>
    </row>
    <row r="60" spans="2:16" x14ac:dyDescent="0.3">
      <c r="B60" s="46" t="str">
        <f>IF(TRIM(G60)&lt;&gt;"",COUNTA($G$57:G60)&amp;"","")</f>
        <v>4</v>
      </c>
      <c r="C60" s="144"/>
      <c r="D60" s="144"/>
      <c r="E60" s="54"/>
      <c r="F60" s="16" t="s">
        <v>23</v>
      </c>
      <c r="G60" s="33">
        <v>1</v>
      </c>
      <c r="H60" s="58"/>
      <c r="I60" s="144" t="s">
        <v>5</v>
      </c>
      <c r="J60" s="55"/>
      <c r="K60" s="55"/>
      <c r="L60" s="56"/>
      <c r="M60" s="66"/>
      <c r="N60" s="55"/>
      <c r="O60" s="56"/>
      <c r="P60" s="200"/>
    </row>
    <row r="61" spans="2:16" x14ac:dyDescent="0.3">
      <c r="B61" s="46" t="str">
        <f>IF(TRIM(G61)&lt;&gt;"",COUNTA($G$57:G61)&amp;"","")</f>
        <v>5</v>
      </c>
      <c r="C61" s="144"/>
      <c r="D61" s="144"/>
      <c r="E61" s="54"/>
      <c r="F61" s="16" t="s">
        <v>24</v>
      </c>
      <c r="G61" s="33">
        <v>1</v>
      </c>
      <c r="H61" s="58"/>
      <c r="I61" s="144" t="s">
        <v>5</v>
      </c>
      <c r="J61" s="55"/>
      <c r="K61" s="55"/>
      <c r="L61" s="56"/>
      <c r="M61" s="66"/>
      <c r="N61" s="55"/>
      <c r="O61" s="56"/>
      <c r="P61" s="200"/>
    </row>
    <row r="62" spans="2:16" x14ac:dyDescent="0.3">
      <c r="B62" s="46" t="str">
        <f>IF(TRIM(G62)&lt;&gt;"",COUNTA($G$57:G62)&amp;"","")</f>
        <v>6</v>
      </c>
      <c r="C62" s="144"/>
      <c r="D62" s="144"/>
      <c r="E62" s="54"/>
      <c r="F62" s="16" t="s">
        <v>25</v>
      </c>
      <c r="G62" s="33">
        <v>1</v>
      </c>
      <c r="H62" s="58"/>
      <c r="I62" s="144" t="s">
        <v>5</v>
      </c>
      <c r="J62" s="55"/>
      <c r="K62" s="55"/>
      <c r="L62" s="56"/>
      <c r="M62" s="66"/>
      <c r="N62" s="55"/>
      <c r="O62" s="56"/>
      <c r="P62" s="200"/>
    </row>
    <row r="63" spans="2:16" x14ac:dyDescent="0.3">
      <c r="B63" s="46" t="str">
        <f>IF(TRIM(G63)&lt;&gt;"",COUNTA($G$57:G63)&amp;"","")</f>
        <v>7</v>
      </c>
      <c r="C63" s="144"/>
      <c r="D63" s="144"/>
      <c r="E63" s="54"/>
      <c r="F63" s="16" t="s">
        <v>26</v>
      </c>
      <c r="G63" s="33">
        <v>1</v>
      </c>
      <c r="H63" s="58"/>
      <c r="I63" s="144" t="s">
        <v>5</v>
      </c>
      <c r="J63" s="55"/>
      <c r="K63" s="55"/>
      <c r="L63" s="56"/>
      <c r="M63" s="66"/>
      <c r="N63" s="55"/>
      <c r="O63" s="56"/>
      <c r="P63" s="200"/>
    </row>
    <row r="64" spans="2:16" x14ac:dyDescent="0.3">
      <c r="B64" s="46" t="str">
        <f>IF(TRIM(G64)&lt;&gt;"",COUNTA($G$57:G64)&amp;"","")</f>
        <v>8</v>
      </c>
      <c r="C64" s="144"/>
      <c r="D64" s="144"/>
      <c r="E64" s="54"/>
      <c r="F64" s="16" t="s">
        <v>18</v>
      </c>
      <c r="G64" s="33">
        <v>1</v>
      </c>
      <c r="H64" s="58"/>
      <c r="I64" s="144" t="s">
        <v>5</v>
      </c>
      <c r="J64" s="55"/>
      <c r="K64" s="55"/>
      <c r="L64" s="56"/>
      <c r="M64" s="66"/>
      <c r="N64" s="55"/>
      <c r="O64" s="56"/>
      <c r="P64" s="201"/>
    </row>
    <row r="65" spans="2:16" ht="14.4" thickBot="1" x14ac:dyDescent="0.35">
      <c r="B65" s="42" t="str">
        <f>IF(TRIM(G65)&lt;&gt;"",COUNTA($G$57:G65)&amp;"","")</f>
        <v/>
      </c>
      <c r="C65" s="43"/>
      <c r="D65" s="43"/>
      <c r="E65" s="2"/>
      <c r="F65" s="19" t="s">
        <v>8</v>
      </c>
      <c r="G65" s="34"/>
      <c r="H65" s="20"/>
      <c r="I65" s="20"/>
      <c r="J65" s="21"/>
      <c r="K65" s="21"/>
      <c r="L65" s="21"/>
      <c r="M65" s="67"/>
      <c r="N65" s="21"/>
      <c r="O65" s="21"/>
      <c r="P65" s="53"/>
    </row>
    <row r="66" spans="2:16" x14ac:dyDescent="0.3">
      <c r="B66" s="42" t="str">
        <f>IF(TRIM(G66)&lt;&gt;"",COUNTA($G$57:G66)&amp;"","")</f>
        <v/>
      </c>
      <c r="C66" s="43"/>
      <c r="D66" s="43"/>
      <c r="E66" s="2"/>
      <c r="F66" s="2"/>
      <c r="G66" s="35"/>
      <c r="H66" s="22"/>
      <c r="I66" s="22"/>
      <c r="J66" s="23"/>
      <c r="K66" s="23"/>
      <c r="L66" s="23"/>
      <c r="M66" s="68"/>
      <c r="N66" s="23"/>
      <c r="O66" s="23"/>
      <c r="P66" s="100"/>
    </row>
    <row r="67" spans="2:16" x14ac:dyDescent="0.3">
      <c r="B67" s="42" t="str">
        <f>IF(TRIM(G67)&lt;&gt;"",COUNTA($G$57:G67)&amp;"","")</f>
        <v/>
      </c>
      <c r="C67" s="43"/>
      <c r="D67" s="43"/>
      <c r="E67" s="2"/>
      <c r="F67" s="2"/>
      <c r="G67" s="36"/>
      <c r="H67" s="2"/>
      <c r="I67" s="2"/>
      <c r="J67" s="24"/>
      <c r="K67" s="24"/>
      <c r="L67" s="24"/>
      <c r="M67" s="69"/>
      <c r="N67" s="24"/>
      <c r="O67" s="24"/>
      <c r="P67" s="101"/>
    </row>
    <row r="68" spans="2:16" x14ac:dyDescent="0.3">
      <c r="B68" s="14" t="str">
        <f>IF(TRIM(G68)&lt;&gt;"",COUNTA($G$57:G68)&amp;"","")</f>
        <v/>
      </c>
      <c r="C68" s="15"/>
      <c r="D68" s="15"/>
      <c r="E68" s="3">
        <v>20000</v>
      </c>
      <c r="F68" s="2" t="s">
        <v>3</v>
      </c>
      <c r="G68" s="37"/>
      <c r="H68" s="15"/>
      <c r="I68" s="15"/>
      <c r="J68" s="15"/>
      <c r="K68" s="15"/>
      <c r="L68" s="15"/>
      <c r="M68" s="72"/>
      <c r="N68" s="15"/>
      <c r="O68" s="15"/>
      <c r="P68" s="51"/>
    </row>
    <row r="69" spans="2:16" s="88" customFormat="1" x14ac:dyDescent="0.3">
      <c r="B69" s="90" t="str">
        <f>IF(TRIM(G69)&lt;&gt;"",COUNTA($G$57:G69)&amp;"","")</f>
        <v/>
      </c>
      <c r="C69" s="91"/>
      <c r="D69" s="104"/>
      <c r="E69" s="145">
        <v>20700</v>
      </c>
      <c r="F69" s="25" t="s">
        <v>11</v>
      </c>
      <c r="G69" s="92"/>
      <c r="H69" s="91"/>
      <c r="I69" s="91"/>
      <c r="J69" s="91"/>
      <c r="K69" s="91"/>
      <c r="L69" s="91"/>
      <c r="M69" s="93"/>
      <c r="N69" s="91"/>
      <c r="O69" s="91"/>
      <c r="P69" s="94"/>
    </row>
    <row r="70" spans="2:16" s="88" customFormat="1" x14ac:dyDescent="0.3">
      <c r="B70" s="46" t="str">
        <f>IF(TRIM(G70)&lt;&gt;"",COUNTA($G$57:G70)&amp;"","")</f>
        <v>9</v>
      </c>
      <c r="C70" s="178" t="s">
        <v>125</v>
      </c>
      <c r="D70" s="178"/>
      <c r="E70" s="178"/>
      <c r="F70" s="106" t="s">
        <v>173</v>
      </c>
      <c r="G70" s="32">
        <v>855</v>
      </c>
      <c r="H70" s="4">
        <v>852.24</v>
      </c>
      <c r="I70" s="4" t="s">
        <v>38</v>
      </c>
      <c r="J70" s="157"/>
      <c r="K70" s="119"/>
      <c r="L70" s="119"/>
      <c r="M70" s="158"/>
      <c r="N70" s="119"/>
      <c r="O70" s="119"/>
      <c r="P70" s="52"/>
    </row>
    <row r="71" spans="2:16" s="88" customFormat="1" x14ac:dyDescent="0.3">
      <c r="B71" s="46" t="str">
        <f>IF(TRIM(G71)&lt;&gt;"",COUNTA($G$57:G71)&amp;"","")</f>
        <v>10</v>
      </c>
      <c r="C71" s="179"/>
      <c r="D71" s="179"/>
      <c r="E71" s="179"/>
      <c r="F71" s="106" t="s">
        <v>174</v>
      </c>
      <c r="G71" s="32">
        <v>855</v>
      </c>
      <c r="H71" s="4">
        <v>852.24</v>
      </c>
      <c r="I71" s="4" t="s">
        <v>38</v>
      </c>
      <c r="J71" s="157"/>
      <c r="K71" s="119"/>
      <c r="L71" s="119"/>
      <c r="M71" s="158"/>
      <c r="N71" s="119"/>
      <c r="O71" s="119"/>
      <c r="P71" s="52"/>
    </row>
    <row r="72" spans="2:16" s="88" customFormat="1" x14ac:dyDescent="0.3">
      <c r="B72" s="46" t="str">
        <f>IF(TRIM(G72)&lt;&gt;"",COUNTA($G$57:G72)&amp;"","")</f>
        <v>11</v>
      </c>
      <c r="C72" s="179"/>
      <c r="D72" s="179"/>
      <c r="E72" s="179"/>
      <c r="F72" s="106" t="s">
        <v>175</v>
      </c>
      <c r="G72" s="32">
        <v>50</v>
      </c>
      <c r="H72" s="4">
        <v>45.51</v>
      </c>
      <c r="I72" s="4" t="s">
        <v>38</v>
      </c>
      <c r="J72" s="157"/>
      <c r="K72" s="119"/>
      <c r="L72" s="119"/>
      <c r="M72" s="158"/>
      <c r="N72" s="119"/>
      <c r="O72" s="119"/>
      <c r="P72" s="52"/>
    </row>
    <row r="73" spans="2:16" s="88" customFormat="1" x14ac:dyDescent="0.3">
      <c r="B73" s="46" t="str">
        <f>IF(TRIM(G73)&lt;&gt;"",COUNTA($G$57:G73)&amp;"","")</f>
        <v>12</v>
      </c>
      <c r="C73" s="179"/>
      <c r="D73" s="179"/>
      <c r="E73" s="179"/>
      <c r="F73" s="106" t="s">
        <v>176</v>
      </c>
      <c r="G73" s="32">
        <v>6</v>
      </c>
      <c r="H73" s="4">
        <v>5.17</v>
      </c>
      <c r="I73" s="4" t="s">
        <v>38</v>
      </c>
      <c r="J73" s="157"/>
      <c r="K73" s="119"/>
      <c r="L73" s="119"/>
      <c r="M73" s="158"/>
      <c r="N73" s="119"/>
      <c r="O73" s="119"/>
      <c r="P73" s="52"/>
    </row>
    <row r="74" spans="2:16" s="88" customFormat="1" x14ac:dyDescent="0.3">
      <c r="B74" s="46" t="str">
        <f>IF(TRIM(G74)&lt;&gt;"",COUNTA($G$57:G74)&amp;"","")</f>
        <v>13</v>
      </c>
      <c r="C74" s="179"/>
      <c r="D74" s="179"/>
      <c r="E74" s="179"/>
      <c r="F74" s="106" t="s">
        <v>177</v>
      </c>
      <c r="G74" s="32">
        <v>23</v>
      </c>
      <c r="H74" s="4">
        <v>22.7</v>
      </c>
      <c r="I74" s="4" t="s">
        <v>38</v>
      </c>
      <c r="J74" s="157"/>
      <c r="K74" s="119"/>
      <c r="L74" s="119"/>
      <c r="M74" s="158"/>
      <c r="N74" s="119"/>
      <c r="O74" s="119"/>
      <c r="P74" s="52"/>
    </row>
    <row r="75" spans="2:16" s="88" customFormat="1" x14ac:dyDescent="0.3">
      <c r="B75" s="46" t="str">
        <f>IF(TRIM(G75)&lt;&gt;"",COUNTA($G$57:G75)&amp;"","")</f>
        <v>14</v>
      </c>
      <c r="C75" s="179"/>
      <c r="D75" s="179"/>
      <c r="E75" s="179"/>
      <c r="F75" s="106" t="s">
        <v>178</v>
      </c>
      <c r="G75" s="32">
        <v>30</v>
      </c>
      <c r="H75" s="4">
        <v>29.88</v>
      </c>
      <c r="I75" s="4" t="s">
        <v>38</v>
      </c>
      <c r="J75" s="157"/>
      <c r="K75" s="119"/>
      <c r="L75" s="119"/>
      <c r="M75" s="158"/>
      <c r="N75" s="119"/>
      <c r="O75" s="119"/>
      <c r="P75" s="52"/>
    </row>
    <row r="76" spans="2:16" s="88" customFormat="1" x14ac:dyDescent="0.3">
      <c r="B76" s="46" t="str">
        <f>IF(TRIM(G76)&lt;&gt;"",COUNTA($G$57:G76)&amp;"","")</f>
        <v>15</v>
      </c>
      <c r="C76" s="179"/>
      <c r="D76" s="179"/>
      <c r="E76" s="179"/>
      <c r="F76" s="106" t="s">
        <v>179</v>
      </c>
      <c r="G76" s="32">
        <v>745</v>
      </c>
      <c r="H76" s="4">
        <v>742.05</v>
      </c>
      <c r="I76" s="4" t="s">
        <v>38</v>
      </c>
      <c r="J76" s="157"/>
      <c r="K76" s="119"/>
      <c r="L76" s="119"/>
      <c r="M76" s="158"/>
      <c r="N76" s="119"/>
      <c r="O76" s="119"/>
      <c r="P76" s="52"/>
    </row>
    <row r="77" spans="2:16" s="88" customFormat="1" x14ac:dyDescent="0.3">
      <c r="B77" s="46" t="str">
        <f>IF(TRIM(G77)&lt;&gt;"",COUNTA($G$57:G77)&amp;"","")</f>
        <v>16</v>
      </c>
      <c r="C77" s="179"/>
      <c r="D77" s="179"/>
      <c r="E77" s="179"/>
      <c r="F77" s="106" t="s">
        <v>180</v>
      </c>
      <c r="G77" s="32">
        <v>745</v>
      </c>
      <c r="H77" s="4">
        <v>742.05</v>
      </c>
      <c r="I77" s="4" t="s">
        <v>38</v>
      </c>
      <c r="J77" s="157"/>
      <c r="K77" s="119"/>
      <c r="L77" s="119"/>
      <c r="M77" s="158"/>
      <c r="N77" s="119"/>
      <c r="O77" s="119"/>
      <c r="P77" s="52"/>
    </row>
    <row r="78" spans="2:16" s="88" customFormat="1" x14ac:dyDescent="0.3">
      <c r="B78" s="46" t="str">
        <f>IF(TRIM(G78)&lt;&gt;"",COUNTA($G$57:G78)&amp;"","")</f>
        <v>17</v>
      </c>
      <c r="C78" s="179"/>
      <c r="D78" s="179"/>
      <c r="E78" s="179"/>
      <c r="F78" s="106" t="s">
        <v>181</v>
      </c>
      <c r="G78" s="32">
        <v>190</v>
      </c>
      <c r="H78" s="4">
        <f>23.55*8</f>
        <v>188.4</v>
      </c>
      <c r="I78" s="4" t="s">
        <v>38</v>
      </c>
      <c r="J78" s="157"/>
      <c r="K78" s="119"/>
      <c r="L78" s="119"/>
      <c r="M78" s="158"/>
      <c r="N78" s="119"/>
      <c r="O78" s="119"/>
      <c r="P78" s="52"/>
    </row>
    <row r="79" spans="2:16" s="88" customFormat="1" x14ac:dyDescent="0.3">
      <c r="B79" s="46" t="str">
        <f>IF(TRIM(G79)&lt;&gt;"",COUNTA($G$57:G79)&amp;"","")</f>
        <v>18</v>
      </c>
      <c r="C79" s="179"/>
      <c r="D79" s="179"/>
      <c r="E79" s="179"/>
      <c r="F79" s="106" t="s">
        <v>182</v>
      </c>
      <c r="G79" s="32">
        <v>285</v>
      </c>
      <c r="H79" s="4">
        <f>(49.94*8)-(118)</f>
        <v>281.52</v>
      </c>
      <c r="I79" s="4" t="s">
        <v>38</v>
      </c>
      <c r="J79" s="157"/>
      <c r="K79" s="119"/>
      <c r="L79" s="119"/>
      <c r="M79" s="158"/>
      <c r="N79" s="119"/>
      <c r="O79" s="119"/>
      <c r="P79" s="52"/>
    </row>
    <row r="80" spans="2:16" s="88" customFormat="1" x14ac:dyDescent="0.3">
      <c r="B80" s="46" t="str">
        <f>IF(TRIM(G80)&lt;&gt;"",COUNTA($G$57:G80)&amp;"","")</f>
        <v>19</v>
      </c>
      <c r="C80" s="179"/>
      <c r="D80" s="179"/>
      <c r="E80" s="179"/>
      <c r="F80" s="106" t="s">
        <v>183</v>
      </c>
      <c r="G80" s="32">
        <v>920</v>
      </c>
      <c r="H80" s="4">
        <f>(111.75*8)+(24)</f>
        <v>918</v>
      </c>
      <c r="I80" s="4" t="s">
        <v>38</v>
      </c>
      <c r="J80" s="157"/>
      <c r="K80" s="119"/>
      <c r="L80" s="119"/>
      <c r="M80" s="158"/>
      <c r="N80" s="119"/>
      <c r="O80" s="119"/>
      <c r="P80" s="52"/>
    </row>
    <row r="81" spans="2:16" s="88" customFormat="1" x14ac:dyDescent="0.3">
      <c r="B81" s="46" t="str">
        <f>IF(TRIM(G81)&lt;&gt;"",COUNTA($G$57:G81)&amp;"","")</f>
        <v>20</v>
      </c>
      <c r="C81" s="179"/>
      <c r="D81" s="179"/>
      <c r="E81" s="179"/>
      <c r="F81" s="106" t="s">
        <v>184</v>
      </c>
      <c r="G81" s="32">
        <v>23</v>
      </c>
      <c r="H81" s="4">
        <f>7.45*3</f>
        <v>22.35</v>
      </c>
      <c r="I81" s="4" t="s">
        <v>38</v>
      </c>
      <c r="J81" s="157"/>
      <c r="K81" s="119"/>
      <c r="L81" s="119"/>
      <c r="M81" s="158"/>
      <c r="N81" s="119"/>
      <c r="O81" s="119"/>
      <c r="P81" s="52"/>
    </row>
    <row r="82" spans="2:16" s="88" customFormat="1" x14ac:dyDescent="0.3">
      <c r="B82" s="46" t="str">
        <f>IF(TRIM(G82)&lt;&gt;"",COUNTA($G$57:G82)&amp;"","")</f>
        <v>21</v>
      </c>
      <c r="C82" s="179"/>
      <c r="D82" s="179"/>
      <c r="E82" s="179"/>
      <c r="F82" s="106" t="s">
        <v>185</v>
      </c>
      <c r="G82" s="32">
        <v>8</v>
      </c>
      <c r="H82" s="4">
        <v>7.98</v>
      </c>
      <c r="I82" s="4" t="s">
        <v>36</v>
      </c>
      <c r="J82" s="157"/>
      <c r="K82" s="119"/>
      <c r="L82" s="119"/>
      <c r="M82" s="158"/>
      <c r="N82" s="119"/>
      <c r="O82" s="119"/>
      <c r="P82" s="52"/>
    </row>
    <row r="83" spans="2:16" s="88" customFormat="1" x14ac:dyDescent="0.3">
      <c r="B83" s="46" t="str">
        <f>IF(TRIM(G83)&lt;&gt;"",COUNTA($G$57:G83)&amp;"","")</f>
        <v>22</v>
      </c>
      <c r="C83" s="179"/>
      <c r="D83" s="179"/>
      <c r="E83" s="179"/>
      <c r="F83" s="106" t="s">
        <v>186</v>
      </c>
      <c r="G83" s="32">
        <v>395</v>
      </c>
      <c r="H83" s="4">
        <v>388.62</v>
      </c>
      <c r="I83" s="4" t="s">
        <v>36</v>
      </c>
      <c r="J83" s="157"/>
      <c r="K83" s="119"/>
      <c r="L83" s="119"/>
      <c r="M83" s="158"/>
      <c r="N83" s="119"/>
      <c r="O83" s="119"/>
      <c r="P83" s="52"/>
    </row>
    <row r="84" spans="2:16" s="88" customFormat="1" x14ac:dyDescent="0.3">
      <c r="B84" s="46" t="str">
        <f>IF(TRIM(G84)&lt;&gt;"",COUNTA($G$57:G84)&amp;"","")</f>
        <v>23</v>
      </c>
      <c r="C84" s="179"/>
      <c r="D84" s="179"/>
      <c r="E84" s="179"/>
      <c r="F84" s="106" t="s">
        <v>187</v>
      </c>
      <c r="G84" s="32">
        <v>11</v>
      </c>
      <c r="H84" s="4">
        <v>10.56</v>
      </c>
      <c r="I84" s="4" t="s">
        <v>36</v>
      </c>
      <c r="J84" s="157"/>
      <c r="K84" s="119"/>
      <c r="L84" s="119"/>
      <c r="M84" s="158"/>
      <c r="N84" s="119"/>
      <c r="O84" s="119"/>
      <c r="P84" s="52"/>
    </row>
    <row r="85" spans="2:16" s="88" customFormat="1" x14ac:dyDescent="0.3">
      <c r="B85" s="46" t="str">
        <f>IF(TRIM(G85)&lt;&gt;"",COUNTA($G$57:G85)&amp;"","")</f>
        <v>24</v>
      </c>
      <c r="C85" s="179"/>
      <c r="D85" s="179"/>
      <c r="E85" s="179"/>
      <c r="F85" s="106" t="s">
        <v>188</v>
      </c>
      <c r="G85" s="32">
        <v>6</v>
      </c>
      <c r="H85" s="4">
        <v>5.96</v>
      </c>
      <c r="I85" s="4" t="s">
        <v>36</v>
      </c>
      <c r="J85" s="157"/>
      <c r="K85" s="119"/>
      <c r="L85" s="119"/>
      <c r="M85" s="158"/>
      <c r="N85" s="119"/>
      <c r="O85" s="119"/>
      <c r="P85" s="52"/>
    </row>
    <row r="86" spans="2:16" s="88" customFormat="1" x14ac:dyDescent="0.3">
      <c r="B86" s="46" t="str">
        <f>IF(TRIM(G86)&lt;&gt;"",COUNTA($G$57:G86)&amp;"","")</f>
        <v>25</v>
      </c>
      <c r="C86" s="179"/>
      <c r="D86" s="179"/>
      <c r="E86" s="179"/>
      <c r="F86" s="106" t="s">
        <v>189</v>
      </c>
      <c r="G86" s="32">
        <v>2</v>
      </c>
      <c r="H86" s="4">
        <v>2</v>
      </c>
      <c r="I86" s="4" t="s">
        <v>37</v>
      </c>
      <c r="J86" s="157"/>
      <c r="K86" s="119"/>
      <c r="L86" s="119"/>
      <c r="M86" s="158"/>
      <c r="N86" s="119"/>
      <c r="O86" s="119"/>
      <c r="P86" s="52"/>
    </row>
    <row r="87" spans="2:16" s="88" customFormat="1" x14ac:dyDescent="0.3">
      <c r="B87" s="46" t="str">
        <f>IF(TRIM(G87)&lt;&gt;"",COUNTA($G$57:G87)&amp;"","")</f>
        <v>26</v>
      </c>
      <c r="C87" s="179"/>
      <c r="D87" s="179"/>
      <c r="E87" s="179"/>
      <c r="F87" s="106" t="s">
        <v>190</v>
      </c>
      <c r="G87" s="32">
        <v>1</v>
      </c>
      <c r="H87" s="4">
        <v>1</v>
      </c>
      <c r="I87" s="4" t="s">
        <v>37</v>
      </c>
      <c r="J87" s="157"/>
      <c r="K87" s="119"/>
      <c r="L87" s="119"/>
      <c r="M87" s="158"/>
      <c r="N87" s="119"/>
      <c r="O87" s="119"/>
      <c r="P87" s="52"/>
    </row>
    <row r="88" spans="2:16" s="88" customFormat="1" x14ac:dyDescent="0.3">
      <c r="B88" s="46" t="str">
        <f>IF(TRIM(G88)&lt;&gt;"",COUNTA($G$57:G88)&amp;"","")</f>
        <v>27</v>
      </c>
      <c r="C88" s="179"/>
      <c r="D88" s="179"/>
      <c r="E88" s="179"/>
      <c r="F88" s="106" t="s">
        <v>191</v>
      </c>
      <c r="G88" s="32">
        <v>1</v>
      </c>
      <c r="H88" s="4">
        <v>1</v>
      </c>
      <c r="I88" s="4" t="s">
        <v>37</v>
      </c>
      <c r="J88" s="157"/>
      <c r="K88" s="119"/>
      <c r="L88" s="119"/>
      <c r="M88" s="158"/>
      <c r="N88" s="119"/>
      <c r="O88" s="119"/>
      <c r="P88" s="52"/>
    </row>
    <row r="89" spans="2:16" s="88" customFormat="1" x14ac:dyDescent="0.3">
      <c r="B89" s="46" t="str">
        <f>IF(TRIM(G89)&lt;&gt;"",COUNTA($G$57:G89)&amp;"","")</f>
        <v>28</v>
      </c>
      <c r="C89" s="179"/>
      <c r="D89" s="179"/>
      <c r="E89" s="179"/>
      <c r="F89" s="106" t="s">
        <v>192</v>
      </c>
      <c r="G89" s="32">
        <v>1</v>
      </c>
      <c r="H89" s="4">
        <v>1</v>
      </c>
      <c r="I89" s="4" t="s">
        <v>37</v>
      </c>
      <c r="J89" s="157"/>
      <c r="K89" s="119"/>
      <c r="L89" s="119"/>
      <c r="M89" s="158"/>
      <c r="N89" s="119"/>
      <c r="O89" s="119"/>
      <c r="P89" s="52"/>
    </row>
    <row r="90" spans="2:16" s="88" customFormat="1" x14ac:dyDescent="0.3">
      <c r="B90" s="46" t="str">
        <f>IF(TRIM(G90)&lt;&gt;"",COUNTA($G$57:G90)&amp;"","")</f>
        <v>29</v>
      </c>
      <c r="C90" s="179"/>
      <c r="D90" s="179"/>
      <c r="E90" s="179"/>
      <c r="F90" s="106" t="s">
        <v>193</v>
      </c>
      <c r="G90" s="32">
        <v>1</v>
      </c>
      <c r="H90" s="4">
        <v>1</v>
      </c>
      <c r="I90" s="4" t="s">
        <v>37</v>
      </c>
      <c r="J90" s="157"/>
      <c r="K90" s="119"/>
      <c r="L90" s="119"/>
      <c r="M90" s="158"/>
      <c r="N90" s="119"/>
      <c r="O90" s="119"/>
      <c r="P90" s="52"/>
    </row>
    <row r="91" spans="2:16" s="88" customFormat="1" x14ac:dyDescent="0.3">
      <c r="B91" s="46" t="str">
        <f>IF(TRIM(G91)&lt;&gt;"",COUNTA($G$57:G91)&amp;"","")</f>
        <v>30</v>
      </c>
      <c r="C91" s="179"/>
      <c r="D91" s="179"/>
      <c r="E91" s="179"/>
      <c r="F91" s="106" t="s">
        <v>194</v>
      </c>
      <c r="G91" s="32">
        <v>1</v>
      </c>
      <c r="H91" s="4">
        <v>1</v>
      </c>
      <c r="I91" s="4" t="s">
        <v>37</v>
      </c>
      <c r="J91" s="157"/>
      <c r="K91" s="119"/>
      <c r="L91" s="119"/>
      <c r="M91" s="158"/>
      <c r="N91" s="119"/>
      <c r="O91" s="119"/>
      <c r="P91" s="52"/>
    </row>
    <row r="92" spans="2:16" s="88" customFormat="1" x14ac:dyDescent="0.3">
      <c r="B92" s="46" t="str">
        <f>IF(TRIM(G92)&lt;&gt;"",COUNTA($G$57:G92)&amp;"","")</f>
        <v>31</v>
      </c>
      <c r="C92" s="179"/>
      <c r="D92" s="179"/>
      <c r="E92" s="179"/>
      <c r="F92" s="106" t="s">
        <v>195</v>
      </c>
      <c r="G92" s="32">
        <v>4</v>
      </c>
      <c r="H92" s="4">
        <v>4</v>
      </c>
      <c r="I92" s="4" t="s">
        <v>37</v>
      </c>
      <c r="J92" s="157"/>
      <c r="K92" s="119"/>
      <c r="L92" s="119"/>
      <c r="M92" s="158"/>
      <c r="N92" s="119"/>
      <c r="O92" s="119"/>
      <c r="P92" s="52"/>
    </row>
    <row r="93" spans="2:16" s="88" customFormat="1" x14ac:dyDescent="0.3">
      <c r="B93" s="46" t="str">
        <f>IF(TRIM(G93)&lt;&gt;"",COUNTA($G$57:G93)&amp;"","")</f>
        <v>32</v>
      </c>
      <c r="C93" s="179"/>
      <c r="D93" s="179"/>
      <c r="E93" s="179"/>
      <c r="F93" s="106" t="s">
        <v>196</v>
      </c>
      <c r="G93" s="32">
        <v>1</v>
      </c>
      <c r="H93" s="4">
        <v>1</v>
      </c>
      <c r="I93" s="4" t="s">
        <v>37</v>
      </c>
      <c r="J93" s="157"/>
      <c r="K93" s="119"/>
      <c r="L93" s="119"/>
      <c r="M93" s="158"/>
      <c r="N93" s="119"/>
      <c r="O93" s="119"/>
      <c r="P93" s="52"/>
    </row>
    <row r="94" spans="2:16" s="88" customFormat="1" x14ac:dyDescent="0.3">
      <c r="B94" s="46" t="str">
        <f>IF(TRIM(G94)&lt;&gt;"",COUNTA($G$57:G94)&amp;"","")</f>
        <v>33</v>
      </c>
      <c r="C94" s="179"/>
      <c r="D94" s="179"/>
      <c r="E94" s="179"/>
      <c r="F94" s="106" t="s">
        <v>197</v>
      </c>
      <c r="G94" s="32">
        <v>1</v>
      </c>
      <c r="H94" s="4">
        <v>1</v>
      </c>
      <c r="I94" s="4" t="s">
        <v>37</v>
      </c>
      <c r="J94" s="157"/>
      <c r="K94" s="119"/>
      <c r="L94" s="119"/>
      <c r="M94" s="158"/>
      <c r="N94" s="119"/>
      <c r="O94" s="119"/>
      <c r="P94" s="52"/>
    </row>
    <row r="95" spans="2:16" s="88" customFormat="1" x14ac:dyDescent="0.3">
      <c r="B95" s="46" t="str">
        <f>IF(TRIM(G95)&lt;&gt;"",COUNTA($G$57:G95)&amp;"","")</f>
        <v>34</v>
      </c>
      <c r="C95" s="179"/>
      <c r="D95" s="179"/>
      <c r="E95" s="179"/>
      <c r="F95" s="106" t="s">
        <v>198</v>
      </c>
      <c r="G95" s="32">
        <v>1</v>
      </c>
      <c r="H95" s="4">
        <v>1</v>
      </c>
      <c r="I95" s="4" t="s">
        <v>37</v>
      </c>
      <c r="J95" s="157"/>
      <c r="K95" s="119"/>
      <c r="L95" s="119"/>
      <c r="M95" s="158"/>
      <c r="N95" s="119"/>
      <c r="O95" s="119"/>
      <c r="P95" s="52"/>
    </row>
    <row r="96" spans="2:16" s="88" customFormat="1" x14ac:dyDescent="0.3">
      <c r="B96" s="46" t="str">
        <f>IF(TRIM(G96)&lt;&gt;"",COUNTA($G$57:G96)&amp;"","")</f>
        <v>35</v>
      </c>
      <c r="C96" s="179"/>
      <c r="D96" s="179"/>
      <c r="E96" s="179"/>
      <c r="F96" s="106" t="s">
        <v>199</v>
      </c>
      <c r="G96" s="32">
        <v>1</v>
      </c>
      <c r="H96" s="4">
        <v>1</v>
      </c>
      <c r="I96" s="4" t="s">
        <v>37</v>
      </c>
      <c r="J96" s="157"/>
      <c r="K96" s="119"/>
      <c r="L96" s="119"/>
      <c r="M96" s="158"/>
      <c r="N96" s="119"/>
      <c r="O96" s="119"/>
      <c r="P96" s="52"/>
    </row>
    <row r="97" spans="2:16" s="88" customFormat="1" x14ac:dyDescent="0.3">
      <c r="B97" s="46" t="str">
        <f>IF(TRIM(G97)&lt;&gt;"",COUNTA($G$57:G97)&amp;"","")</f>
        <v>36</v>
      </c>
      <c r="C97" s="179"/>
      <c r="D97" s="179"/>
      <c r="E97" s="179"/>
      <c r="F97" s="106" t="s">
        <v>200</v>
      </c>
      <c r="G97" s="32">
        <v>1</v>
      </c>
      <c r="H97" s="4">
        <v>1</v>
      </c>
      <c r="I97" s="4" t="s">
        <v>37</v>
      </c>
      <c r="J97" s="157"/>
      <c r="K97" s="119"/>
      <c r="L97" s="119"/>
      <c r="M97" s="158"/>
      <c r="N97" s="119"/>
      <c r="O97" s="119"/>
      <c r="P97" s="52"/>
    </row>
    <row r="98" spans="2:16" s="88" customFormat="1" x14ac:dyDescent="0.3">
      <c r="B98" s="46" t="str">
        <f>IF(TRIM(G98)&lt;&gt;"",COUNTA($G$57:G98)&amp;"","")</f>
        <v>37</v>
      </c>
      <c r="C98" s="179"/>
      <c r="D98" s="179"/>
      <c r="E98" s="179"/>
      <c r="F98" s="106" t="s">
        <v>201</v>
      </c>
      <c r="G98" s="32">
        <v>1</v>
      </c>
      <c r="H98" s="4">
        <v>1</v>
      </c>
      <c r="I98" s="4" t="s">
        <v>37</v>
      </c>
      <c r="J98" s="157"/>
      <c r="K98" s="119"/>
      <c r="L98" s="119"/>
      <c r="M98" s="158"/>
      <c r="N98" s="119"/>
      <c r="O98" s="119"/>
      <c r="P98" s="52"/>
    </row>
    <row r="99" spans="2:16" s="88" customFormat="1" x14ac:dyDescent="0.3">
      <c r="B99" s="46" t="str">
        <f>IF(TRIM(G99)&lt;&gt;"",COUNTA($G$57:G99)&amp;"","")</f>
        <v>38</v>
      </c>
      <c r="C99" s="179"/>
      <c r="D99" s="179"/>
      <c r="E99" s="179"/>
      <c r="F99" s="106" t="s">
        <v>202</v>
      </c>
      <c r="G99" s="32">
        <v>1</v>
      </c>
      <c r="H99" s="4">
        <v>1</v>
      </c>
      <c r="I99" s="4" t="s">
        <v>37</v>
      </c>
      <c r="J99" s="157"/>
      <c r="K99" s="119"/>
      <c r="L99" s="119"/>
      <c r="M99" s="158"/>
      <c r="N99" s="119"/>
      <c r="O99" s="119"/>
      <c r="P99" s="52"/>
    </row>
    <row r="100" spans="2:16" s="88" customFormat="1" x14ac:dyDescent="0.3">
      <c r="B100" s="46" t="str">
        <f>IF(TRIM(G100)&lt;&gt;"",COUNTA($G$57:G100)&amp;"","")</f>
        <v>39</v>
      </c>
      <c r="C100" s="179"/>
      <c r="D100" s="179"/>
      <c r="E100" s="179"/>
      <c r="F100" s="106" t="s">
        <v>203</v>
      </c>
      <c r="G100" s="32">
        <v>1</v>
      </c>
      <c r="H100" s="4">
        <v>1</v>
      </c>
      <c r="I100" s="4" t="s">
        <v>37</v>
      </c>
      <c r="J100" s="157"/>
      <c r="K100" s="119"/>
      <c r="L100" s="119"/>
      <c r="M100" s="158"/>
      <c r="N100" s="119"/>
      <c r="O100" s="119"/>
      <c r="P100" s="52"/>
    </row>
    <row r="101" spans="2:16" s="88" customFormat="1" x14ac:dyDescent="0.3">
      <c r="B101" s="46" t="str">
        <f>IF(TRIM(G101)&lt;&gt;"",COUNTA($G$57:G101)&amp;"","")</f>
        <v>40</v>
      </c>
      <c r="C101" s="179"/>
      <c r="D101" s="179"/>
      <c r="E101" s="179"/>
      <c r="F101" s="106" t="s">
        <v>204</v>
      </c>
      <c r="G101" s="32">
        <v>1</v>
      </c>
      <c r="H101" s="4">
        <v>1</v>
      </c>
      <c r="I101" s="4" t="s">
        <v>37</v>
      </c>
      <c r="J101" s="157"/>
      <c r="K101" s="119"/>
      <c r="L101" s="119"/>
      <c r="M101" s="158"/>
      <c r="N101" s="119"/>
      <c r="O101" s="119"/>
      <c r="P101" s="52"/>
    </row>
    <row r="102" spans="2:16" s="88" customFormat="1" x14ac:dyDescent="0.3">
      <c r="B102" s="46" t="str">
        <f>IF(TRIM(G102)&lt;&gt;"",COUNTA($G$57:G102)&amp;"","")</f>
        <v>41</v>
      </c>
      <c r="C102" s="179"/>
      <c r="D102" s="179"/>
      <c r="E102" s="179"/>
      <c r="F102" s="106" t="s">
        <v>205</v>
      </c>
      <c r="G102" s="32">
        <v>1</v>
      </c>
      <c r="H102" s="4">
        <v>1</v>
      </c>
      <c r="I102" s="4" t="s">
        <v>37</v>
      </c>
      <c r="J102" s="157"/>
      <c r="K102" s="119"/>
      <c r="L102" s="119"/>
      <c r="M102" s="158"/>
      <c r="N102" s="119"/>
      <c r="O102" s="119"/>
      <c r="P102" s="52"/>
    </row>
    <row r="103" spans="2:16" s="88" customFormat="1" x14ac:dyDescent="0.3">
      <c r="B103" s="46" t="str">
        <f>IF(TRIM(G103)&lt;&gt;"",COUNTA($G$57:G103)&amp;"","")</f>
        <v>42</v>
      </c>
      <c r="C103" s="179"/>
      <c r="D103" s="179"/>
      <c r="E103" s="179"/>
      <c r="F103" s="106" t="s">
        <v>206</v>
      </c>
      <c r="G103" s="32">
        <v>1</v>
      </c>
      <c r="H103" s="4">
        <v>1</v>
      </c>
      <c r="I103" s="4" t="s">
        <v>37</v>
      </c>
      <c r="J103" s="157"/>
      <c r="K103" s="119"/>
      <c r="L103" s="119"/>
      <c r="M103" s="158"/>
      <c r="N103" s="119"/>
      <c r="O103" s="119"/>
      <c r="P103" s="52"/>
    </row>
    <row r="104" spans="2:16" s="88" customFormat="1" x14ac:dyDescent="0.3">
      <c r="B104" s="46" t="str">
        <f>IF(TRIM(G104)&lt;&gt;"",COUNTA($G$57:G104)&amp;"","")</f>
        <v>43</v>
      </c>
      <c r="C104" s="179"/>
      <c r="D104" s="179"/>
      <c r="E104" s="179"/>
      <c r="F104" s="106" t="s">
        <v>207</v>
      </c>
      <c r="G104" s="32">
        <v>1</v>
      </c>
      <c r="H104" s="4">
        <v>1</v>
      </c>
      <c r="I104" s="4" t="s">
        <v>37</v>
      </c>
      <c r="J104" s="157"/>
      <c r="K104" s="119"/>
      <c r="L104" s="119"/>
      <c r="M104" s="158"/>
      <c r="N104" s="119"/>
      <c r="O104" s="119"/>
      <c r="P104" s="52"/>
    </row>
    <row r="105" spans="2:16" s="88" customFormat="1" x14ac:dyDescent="0.3">
      <c r="B105" s="46" t="str">
        <f>IF(TRIM(G105)&lt;&gt;"",COUNTA($G$57:G105)&amp;"","")</f>
        <v>44</v>
      </c>
      <c r="C105" s="179"/>
      <c r="D105" s="179"/>
      <c r="E105" s="179"/>
      <c r="F105" s="106" t="s">
        <v>208</v>
      </c>
      <c r="G105" s="32">
        <v>1</v>
      </c>
      <c r="H105" s="4">
        <v>1</v>
      </c>
      <c r="I105" s="4" t="s">
        <v>37</v>
      </c>
      <c r="J105" s="157"/>
      <c r="K105" s="119"/>
      <c r="L105" s="119"/>
      <c r="M105" s="158"/>
      <c r="N105" s="119"/>
      <c r="O105" s="119"/>
      <c r="P105" s="52"/>
    </row>
    <row r="106" spans="2:16" s="88" customFormat="1" x14ac:dyDescent="0.3">
      <c r="B106" s="46" t="str">
        <f>IF(TRIM(G106)&lt;&gt;"",COUNTA($G$57:G106)&amp;"","")</f>
        <v>45</v>
      </c>
      <c r="C106" s="179"/>
      <c r="D106" s="179"/>
      <c r="E106" s="179"/>
      <c r="F106" s="106" t="s">
        <v>209</v>
      </c>
      <c r="G106" s="32">
        <v>1</v>
      </c>
      <c r="H106" s="4">
        <v>1</v>
      </c>
      <c r="I106" s="4" t="s">
        <v>37</v>
      </c>
      <c r="J106" s="157"/>
      <c r="K106" s="119"/>
      <c r="L106" s="119"/>
      <c r="M106" s="158"/>
      <c r="N106" s="119"/>
      <c r="O106" s="119"/>
      <c r="P106" s="52"/>
    </row>
    <row r="107" spans="2:16" s="88" customFormat="1" x14ac:dyDescent="0.3">
      <c r="B107" s="46" t="str">
        <f>IF(TRIM(G107)&lt;&gt;"",COUNTA($G$57:G107)&amp;"","")</f>
        <v>46</v>
      </c>
      <c r="C107" s="180"/>
      <c r="D107" s="180"/>
      <c r="E107" s="180"/>
      <c r="F107" s="106" t="s">
        <v>210</v>
      </c>
      <c r="G107" s="32">
        <v>1</v>
      </c>
      <c r="H107" s="4">
        <v>1</v>
      </c>
      <c r="I107" s="4" t="s">
        <v>37</v>
      </c>
      <c r="J107" s="157"/>
      <c r="K107" s="119"/>
      <c r="L107" s="119"/>
      <c r="M107" s="158"/>
      <c r="N107" s="119"/>
      <c r="O107" s="119"/>
      <c r="P107" s="52"/>
    </row>
    <row r="108" spans="2:16" s="88" customFormat="1" ht="16.5" customHeight="1" x14ac:dyDescent="0.3">
      <c r="B108" s="46" t="str">
        <f>IF(TRIM(G108)&lt;&gt;"",COUNTA($G$57:G108)&amp;"","")</f>
        <v>47</v>
      </c>
      <c r="C108" s="178" t="s">
        <v>125</v>
      </c>
      <c r="D108" s="178"/>
      <c r="E108" s="178"/>
      <c r="F108" s="106" t="s">
        <v>222</v>
      </c>
      <c r="G108" s="142">
        <v>13</v>
      </c>
      <c r="H108" s="142">
        <v>13</v>
      </c>
      <c r="I108" s="142" t="s">
        <v>37</v>
      </c>
      <c r="J108" s="157"/>
      <c r="K108" s="119"/>
      <c r="L108" s="119"/>
      <c r="M108" s="158"/>
      <c r="N108" s="119"/>
      <c r="O108" s="119"/>
      <c r="P108" s="52"/>
    </row>
    <row r="109" spans="2:16" s="88" customFormat="1" ht="16.5" customHeight="1" x14ac:dyDescent="0.3">
      <c r="B109" s="46" t="str">
        <f>IF(TRIM(G109)&lt;&gt;"",COUNTA($G$57:G109)&amp;"","")</f>
        <v>48</v>
      </c>
      <c r="C109" s="179"/>
      <c r="D109" s="179"/>
      <c r="E109" s="179"/>
      <c r="F109" s="106" t="s">
        <v>223</v>
      </c>
      <c r="G109" s="142">
        <v>7</v>
      </c>
      <c r="H109" s="142">
        <v>7</v>
      </c>
      <c r="I109" s="142" t="s">
        <v>37</v>
      </c>
      <c r="J109" s="157"/>
      <c r="K109" s="119"/>
      <c r="L109" s="119"/>
      <c r="M109" s="158"/>
      <c r="N109" s="119"/>
      <c r="O109" s="119"/>
      <c r="P109" s="52"/>
    </row>
    <row r="110" spans="2:16" s="88" customFormat="1" ht="16.5" customHeight="1" x14ac:dyDescent="0.3">
      <c r="B110" s="46" t="str">
        <f>IF(TRIM(G110)&lt;&gt;"",COUNTA($G$57:G110)&amp;"","")</f>
        <v>49</v>
      </c>
      <c r="C110" s="179"/>
      <c r="D110" s="179"/>
      <c r="E110" s="179"/>
      <c r="F110" s="106" t="s">
        <v>224</v>
      </c>
      <c r="G110" s="142">
        <v>24</v>
      </c>
      <c r="H110" s="142">
        <v>24</v>
      </c>
      <c r="I110" s="142" t="s">
        <v>37</v>
      </c>
      <c r="J110" s="157"/>
      <c r="K110" s="119"/>
      <c r="L110" s="119"/>
      <c r="M110" s="158"/>
      <c r="N110" s="119"/>
      <c r="O110" s="119"/>
      <c r="P110" s="52"/>
    </row>
    <row r="111" spans="2:16" s="88" customFormat="1" ht="16.5" customHeight="1" x14ac:dyDescent="0.3">
      <c r="B111" s="46" t="str">
        <f>IF(TRIM(G111)&lt;&gt;"",COUNTA($G$57:G111)&amp;"","")</f>
        <v>50</v>
      </c>
      <c r="C111" s="179"/>
      <c r="D111" s="179"/>
      <c r="E111" s="179"/>
      <c r="F111" s="106" t="s">
        <v>225</v>
      </c>
      <c r="G111" s="142">
        <v>1</v>
      </c>
      <c r="H111" s="142">
        <v>1</v>
      </c>
      <c r="I111" s="142" t="s">
        <v>37</v>
      </c>
      <c r="J111" s="157"/>
      <c r="K111" s="119"/>
      <c r="L111" s="119"/>
      <c r="M111" s="158"/>
      <c r="N111" s="119"/>
      <c r="O111" s="119"/>
      <c r="P111" s="52"/>
    </row>
    <row r="112" spans="2:16" s="88" customFormat="1" ht="16.5" customHeight="1" x14ac:dyDescent="0.3">
      <c r="B112" s="46" t="str">
        <f>IF(TRIM(G112)&lt;&gt;"",COUNTA($G$57:G112)&amp;"","")</f>
        <v>51</v>
      </c>
      <c r="C112" s="179"/>
      <c r="D112" s="179"/>
      <c r="E112" s="179"/>
      <c r="F112" s="106" t="s">
        <v>226</v>
      </c>
      <c r="G112" s="142">
        <v>1</v>
      </c>
      <c r="H112" s="142">
        <v>1</v>
      </c>
      <c r="I112" s="142" t="s">
        <v>37</v>
      </c>
      <c r="J112" s="157"/>
      <c r="K112" s="119"/>
      <c r="L112" s="119"/>
      <c r="M112" s="158"/>
      <c r="N112" s="119"/>
      <c r="O112" s="119"/>
      <c r="P112" s="52"/>
    </row>
    <row r="113" spans="2:16" s="88" customFormat="1" ht="16.5" customHeight="1" x14ac:dyDescent="0.3">
      <c r="B113" s="46" t="str">
        <f>IF(TRIM(G113)&lt;&gt;"",COUNTA($G$57:G113)&amp;"","")</f>
        <v>52</v>
      </c>
      <c r="C113" s="179"/>
      <c r="D113" s="179"/>
      <c r="E113" s="179"/>
      <c r="F113" s="106" t="s">
        <v>227</v>
      </c>
      <c r="G113" s="142">
        <v>1</v>
      </c>
      <c r="H113" s="142">
        <v>1</v>
      </c>
      <c r="I113" s="142" t="s">
        <v>37</v>
      </c>
      <c r="J113" s="157"/>
      <c r="K113" s="119"/>
      <c r="L113" s="119"/>
      <c r="M113" s="158"/>
      <c r="N113" s="119"/>
      <c r="O113" s="119"/>
      <c r="P113" s="52"/>
    </row>
    <row r="114" spans="2:16" s="88" customFormat="1" ht="16.5" customHeight="1" x14ac:dyDescent="0.3">
      <c r="B114" s="46" t="str">
        <f>IF(TRIM(G114)&lt;&gt;"",COUNTA($G$57:G114)&amp;"","")</f>
        <v>53</v>
      </c>
      <c r="C114" s="179"/>
      <c r="D114" s="179"/>
      <c r="E114" s="179"/>
      <c r="F114" s="106" t="s">
        <v>228</v>
      </c>
      <c r="G114" s="142">
        <v>1</v>
      </c>
      <c r="H114" s="142">
        <v>1</v>
      </c>
      <c r="I114" s="142" t="s">
        <v>37</v>
      </c>
      <c r="J114" s="157"/>
      <c r="K114" s="119"/>
      <c r="L114" s="119"/>
      <c r="M114" s="158"/>
      <c r="N114" s="119"/>
      <c r="O114" s="119"/>
      <c r="P114" s="52"/>
    </row>
    <row r="115" spans="2:16" s="88" customFormat="1" ht="16.5" customHeight="1" x14ac:dyDescent="0.3">
      <c r="B115" s="46" t="str">
        <f>IF(TRIM(G115)&lt;&gt;"",COUNTA($G$57:G115)&amp;"","")</f>
        <v>54</v>
      </c>
      <c r="C115" s="179"/>
      <c r="D115" s="179"/>
      <c r="E115" s="179"/>
      <c r="F115" s="106" t="s">
        <v>229</v>
      </c>
      <c r="G115" s="142">
        <v>4</v>
      </c>
      <c r="H115" s="142">
        <v>4</v>
      </c>
      <c r="I115" s="142" t="s">
        <v>37</v>
      </c>
      <c r="J115" s="157"/>
      <c r="K115" s="119"/>
      <c r="L115" s="119"/>
      <c r="M115" s="158"/>
      <c r="N115" s="119"/>
      <c r="O115" s="119"/>
      <c r="P115" s="52"/>
    </row>
    <row r="116" spans="2:16" s="88" customFormat="1" ht="16.5" customHeight="1" x14ac:dyDescent="0.3">
      <c r="B116" s="46" t="str">
        <f>IF(TRIM(G116)&lt;&gt;"",COUNTA($G$57:G116)&amp;"","")</f>
        <v>55</v>
      </c>
      <c r="C116" s="179"/>
      <c r="D116" s="179"/>
      <c r="E116" s="179"/>
      <c r="F116" s="106" t="s">
        <v>230</v>
      </c>
      <c r="G116" s="142">
        <v>1</v>
      </c>
      <c r="H116" s="142">
        <v>1</v>
      </c>
      <c r="I116" s="142" t="s">
        <v>37</v>
      </c>
      <c r="J116" s="157"/>
      <c r="K116" s="119"/>
      <c r="L116" s="119"/>
      <c r="M116" s="158"/>
      <c r="N116" s="119"/>
      <c r="O116" s="119"/>
      <c r="P116" s="52"/>
    </row>
    <row r="117" spans="2:16" s="88" customFormat="1" ht="16.5" customHeight="1" x14ac:dyDescent="0.3">
      <c r="B117" s="46" t="str">
        <f>IF(TRIM(G117)&lt;&gt;"",COUNTA($G$57:G117)&amp;"","")</f>
        <v>56</v>
      </c>
      <c r="C117" s="179"/>
      <c r="D117" s="179"/>
      <c r="E117" s="179"/>
      <c r="F117" s="106" t="s">
        <v>231</v>
      </c>
      <c r="G117" s="142">
        <v>1</v>
      </c>
      <c r="H117" s="142">
        <v>1</v>
      </c>
      <c r="I117" s="142" t="s">
        <v>37</v>
      </c>
      <c r="J117" s="157"/>
      <c r="K117" s="119"/>
      <c r="L117" s="119"/>
      <c r="M117" s="158"/>
      <c r="N117" s="119"/>
      <c r="O117" s="119"/>
      <c r="P117" s="52"/>
    </row>
    <row r="118" spans="2:16" s="88" customFormat="1" ht="16.5" customHeight="1" x14ac:dyDescent="0.3">
      <c r="B118" s="46" t="str">
        <f>IF(TRIM(G118)&lt;&gt;"",COUNTA($G$57:G118)&amp;"","")</f>
        <v>57</v>
      </c>
      <c r="C118" s="179"/>
      <c r="D118" s="179"/>
      <c r="E118" s="179"/>
      <c r="F118" s="171" t="s">
        <v>232</v>
      </c>
      <c r="G118" s="137">
        <v>1</v>
      </c>
      <c r="H118" s="137"/>
      <c r="I118" s="137" t="s">
        <v>5</v>
      </c>
      <c r="J118" s="157"/>
      <c r="K118" s="119"/>
      <c r="L118" s="119"/>
      <c r="M118" s="158"/>
      <c r="N118" s="119"/>
      <c r="O118" s="119"/>
      <c r="P118" s="52"/>
    </row>
    <row r="119" spans="2:16" s="88" customFormat="1" ht="16.5" customHeight="1" x14ac:dyDescent="0.3">
      <c r="B119" s="46" t="str">
        <f>IF(TRIM(G119)&lt;&gt;"",COUNTA($G$57:G119)&amp;"","")</f>
        <v>58</v>
      </c>
      <c r="C119" s="180"/>
      <c r="D119" s="180"/>
      <c r="E119" s="180"/>
      <c r="F119" s="171" t="s">
        <v>233</v>
      </c>
      <c r="G119" s="137">
        <v>1</v>
      </c>
      <c r="H119" s="137"/>
      <c r="I119" s="137" t="s">
        <v>5</v>
      </c>
      <c r="J119" s="157"/>
      <c r="K119" s="119"/>
      <c r="L119" s="119"/>
      <c r="M119" s="158"/>
      <c r="N119" s="119"/>
      <c r="O119" s="119"/>
      <c r="P119" s="52"/>
    </row>
    <row r="120" spans="2:16" s="88" customFormat="1" ht="14.4" thickBot="1" x14ac:dyDescent="0.35">
      <c r="B120" s="46" t="str">
        <f>IF(TRIM(G120)&lt;&gt;"",COUNTA($G$57:G120)&amp;"","")</f>
        <v/>
      </c>
      <c r="C120" s="142"/>
      <c r="D120" s="142"/>
      <c r="E120" s="142"/>
      <c r="F120" s="19" t="s">
        <v>8</v>
      </c>
      <c r="G120" s="34"/>
      <c r="H120" s="20"/>
      <c r="I120" s="20"/>
      <c r="J120" s="21"/>
      <c r="K120" s="21"/>
      <c r="L120" s="21"/>
      <c r="M120" s="71"/>
      <c r="N120" s="21"/>
      <c r="O120" s="21"/>
      <c r="P120" s="53"/>
    </row>
    <row r="121" spans="2:16" s="88" customFormat="1" x14ac:dyDescent="0.3">
      <c r="B121" s="46" t="str">
        <f>IF(TRIM(G121)&lt;&gt;"",COUNTA($G$57:G121)&amp;"","")</f>
        <v/>
      </c>
      <c r="C121" s="142"/>
      <c r="D121" s="142"/>
      <c r="E121" s="142"/>
      <c r="F121" s="19"/>
      <c r="G121" s="125"/>
      <c r="H121" s="126"/>
      <c r="I121" s="126"/>
      <c r="J121" s="127"/>
      <c r="K121" s="127"/>
      <c r="L121" s="129"/>
      <c r="M121" s="130"/>
      <c r="N121" s="127"/>
      <c r="O121" s="129"/>
      <c r="P121" s="131"/>
    </row>
    <row r="122" spans="2:16" s="88" customFormat="1" x14ac:dyDescent="0.3">
      <c r="B122" s="46" t="str">
        <f>IF(TRIM(G122)&lt;&gt;"",COUNTA($G$57:G122)&amp;"","")</f>
        <v/>
      </c>
      <c r="C122" s="142"/>
      <c r="D122" s="142"/>
      <c r="E122" s="142"/>
      <c r="F122" s="19"/>
      <c r="G122" s="32"/>
      <c r="H122" s="4"/>
      <c r="I122" s="4"/>
      <c r="J122" s="6"/>
      <c r="K122" s="6"/>
      <c r="L122" s="132"/>
      <c r="M122" s="133"/>
      <c r="N122" s="6"/>
      <c r="O122" s="132"/>
      <c r="P122" s="134"/>
    </row>
    <row r="123" spans="2:16" s="88" customFormat="1" x14ac:dyDescent="0.3">
      <c r="B123" s="90" t="str">
        <f>IF(TRIM(G123)&lt;&gt;"",COUNTA($G$57:G123)&amp;"","")</f>
        <v/>
      </c>
      <c r="C123" s="91"/>
      <c r="D123" s="104"/>
      <c r="E123" s="141">
        <v>22000</v>
      </c>
      <c r="F123" s="25" t="s">
        <v>39</v>
      </c>
      <c r="G123" s="105"/>
      <c r="H123" s="91"/>
      <c r="I123" s="91"/>
      <c r="J123" s="91"/>
      <c r="K123" s="91"/>
      <c r="L123" s="91"/>
      <c r="M123" s="93"/>
      <c r="N123" s="93"/>
      <c r="O123" s="93"/>
      <c r="P123" s="94"/>
    </row>
    <row r="124" spans="2:16" s="88" customFormat="1" x14ac:dyDescent="0.3">
      <c r="B124" s="46" t="str">
        <f>IF(TRIM(G124)&lt;&gt;"",COUNTA($G$57:G124)&amp;"","")</f>
        <v>59</v>
      </c>
      <c r="C124" s="197" t="s">
        <v>219</v>
      </c>
      <c r="D124" s="197"/>
      <c r="E124" s="197"/>
      <c r="F124" s="106" t="s">
        <v>40</v>
      </c>
      <c r="G124" s="97">
        <f>575/27</f>
        <v>21.296296296296298</v>
      </c>
      <c r="H124" s="107">
        <v>570.4799999999999</v>
      </c>
      <c r="I124" s="159" t="s">
        <v>272</v>
      </c>
      <c r="J124" s="160"/>
      <c r="K124" s="161"/>
      <c r="L124" s="161"/>
      <c r="M124" s="158"/>
      <c r="N124" s="161"/>
      <c r="O124" s="161"/>
      <c r="P124" s="162"/>
    </row>
    <row r="125" spans="2:16" s="26" customFormat="1" x14ac:dyDescent="0.3">
      <c r="B125" s="46" t="str">
        <f>IF(TRIM(G125)&lt;&gt;"",COUNTA($G$57:G125)&amp;"","")</f>
        <v>60</v>
      </c>
      <c r="C125" s="198"/>
      <c r="D125" s="198"/>
      <c r="E125" s="198"/>
      <c r="F125" s="106" t="s">
        <v>42</v>
      </c>
      <c r="G125" s="97">
        <f>360/27</f>
        <v>13.333333333333334</v>
      </c>
      <c r="H125" s="107">
        <v>356.39</v>
      </c>
      <c r="I125" s="159" t="s">
        <v>272</v>
      </c>
      <c r="J125" s="160"/>
      <c r="K125" s="161"/>
      <c r="L125" s="161"/>
      <c r="M125" s="158"/>
      <c r="N125" s="161"/>
      <c r="O125" s="161"/>
      <c r="P125" s="162"/>
    </row>
    <row r="126" spans="2:16" s="26" customFormat="1" x14ac:dyDescent="0.3">
      <c r="B126" s="46" t="str">
        <f>IF(TRIM(G126)&lt;&gt;"",COUNTA($G$57:G126)&amp;"","")</f>
        <v>61</v>
      </c>
      <c r="C126" s="198"/>
      <c r="D126" s="198"/>
      <c r="E126" s="198"/>
      <c r="F126" s="124" t="s">
        <v>43</v>
      </c>
      <c r="G126" s="97">
        <f>G124-G125</f>
        <v>7.9629629629629637</v>
      </c>
      <c r="H126" s="108"/>
      <c r="I126" s="159" t="s">
        <v>272</v>
      </c>
      <c r="J126" s="160"/>
      <c r="K126" s="161"/>
      <c r="L126" s="161"/>
      <c r="M126" s="158"/>
      <c r="N126" s="161"/>
      <c r="O126" s="161"/>
      <c r="P126" s="162"/>
    </row>
    <row r="127" spans="2:16" s="26" customFormat="1" x14ac:dyDescent="0.3">
      <c r="B127" s="46" t="str">
        <f>IF(TRIM(G127)&lt;&gt;"",COUNTA($G$57:G127)&amp;"","")</f>
        <v>62</v>
      </c>
      <c r="C127" s="197" t="s">
        <v>219</v>
      </c>
      <c r="D127" s="197"/>
      <c r="E127" s="197"/>
      <c r="F127" s="106" t="s">
        <v>217</v>
      </c>
      <c r="G127" s="156">
        <f>25/27</f>
        <v>0.92592592592592593</v>
      </c>
      <c r="H127" s="108">
        <f>(55*0.666*0.666)</f>
        <v>24.395580000000002</v>
      </c>
      <c r="I127" s="159" t="s">
        <v>272</v>
      </c>
      <c r="J127" s="160"/>
      <c r="K127" s="161"/>
      <c r="L127" s="161"/>
      <c r="M127" s="158"/>
      <c r="N127" s="161"/>
      <c r="O127" s="161"/>
      <c r="P127" s="162"/>
    </row>
    <row r="128" spans="2:16" s="26" customFormat="1" x14ac:dyDescent="0.3">
      <c r="B128" s="46" t="str">
        <f>IF(TRIM(G128)&lt;&gt;"",COUNTA($G$57:G128)&amp;"","")</f>
        <v>63</v>
      </c>
      <c r="C128" s="198"/>
      <c r="D128" s="198"/>
      <c r="E128" s="198"/>
      <c r="F128" s="106" t="s">
        <v>218</v>
      </c>
      <c r="G128" s="156">
        <v>40</v>
      </c>
      <c r="H128" s="108">
        <f>(55*0.666)</f>
        <v>36.630000000000003</v>
      </c>
      <c r="I128" s="137" t="s">
        <v>38</v>
      </c>
      <c r="J128" s="157"/>
      <c r="K128" s="161"/>
      <c r="L128" s="119"/>
      <c r="M128" s="158"/>
      <c r="N128" s="119"/>
      <c r="O128" s="119"/>
      <c r="P128" s="52"/>
    </row>
    <row r="129" spans="2:16" s="26" customFormat="1" x14ac:dyDescent="0.3">
      <c r="B129" s="46" t="str">
        <f>IF(TRIM(G129)&lt;&gt;"",COUNTA($G$57:G129)&amp;"","")</f>
        <v>64</v>
      </c>
      <c r="C129" s="202"/>
      <c r="D129" s="202"/>
      <c r="E129" s="202"/>
      <c r="F129" s="106" t="s">
        <v>216</v>
      </c>
      <c r="G129" s="156">
        <v>55</v>
      </c>
      <c r="H129" s="108">
        <v>55</v>
      </c>
      <c r="I129" s="137" t="s">
        <v>36</v>
      </c>
      <c r="J129" s="157"/>
      <c r="K129" s="161"/>
      <c r="L129" s="119"/>
      <c r="M129" s="158"/>
      <c r="N129" s="161"/>
      <c r="O129" s="161"/>
      <c r="P129" s="162"/>
    </row>
    <row r="130" spans="2:16" s="88" customFormat="1" ht="14.4" thickBot="1" x14ac:dyDescent="0.35">
      <c r="B130" s="46" t="str">
        <f>IF(TRIM(G130)&lt;&gt;"",COUNTA($G$57:G130)&amp;"","")</f>
        <v/>
      </c>
      <c r="C130" s="142"/>
      <c r="D130" s="142"/>
      <c r="E130" s="142"/>
      <c r="F130" s="19" t="s">
        <v>8</v>
      </c>
      <c r="G130" s="34"/>
      <c r="H130" s="20"/>
      <c r="I130" s="20"/>
      <c r="J130" s="21"/>
      <c r="K130" s="21"/>
      <c r="L130" s="21"/>
      <c r="M130" s="71"/>
      <c r="N130" s="21"/>
      <c r="O130" s="21"/>
      <c r="P130" s="53"/>
    </row>
    <row r="131" spans="2:16" s="88" customFormat="1" x14ac:dyDescent="0.3">
      <c r="B131" s="46" t="str">
        <f>IF(TRIM(G131)&lt;&gt;"",COUNTA($G$57:G131)&amp;"","")</f>
        <v/>
      </c>
      <c r="C131" s="142"/>
      <c r="D131" s="142"/>
      <c r="E131" s="142"/>
      <c r="F131" s="109"/>
      <c r="G131" s="95"/>
      <c r="H131" s="139"/>
      <c r="I131" s="139"/>
      <c r="J131" s="110"/>
      <c r="K131" s="110"/>
      <c r="L131" s="110"/>
      <c r="M131" s="111"/>
      <c r="N131" s="110"/>
      <c r="O131" s="110"/>
      <c r="P131" s="112"/>
    </row>
    <row r="132" spans="2:16" s="88" customFormat="1" x14ac:dyDescent="0.3">
      <c r="B132" s="46" t="str">
        <f>IF(TRIM(G132)&lt;&gt;"",COUNTA($G$57:G132)&amp;"","")</f>
        <v/>
      </c>
      <c r="C132" s="142"/>
      <c r="D132" s="142"/>
      <c r="E132" s="142"/>
      <c r="F132" s="109"/>
      <c r="G132" s="97"/>
      <c r="H132" s="142"/>
      <c r="I132" s="142"/>
      <c r="J132" s="96"/>
      <c r="K132" s="96"/>
      <c r="L132" s="96"/>
      <c r="M132" s="113"/>
      <c r="N132" s="96"/>
      <c r="O132" s="96"/>
      <c r="P132" s="114"/>
    </row>
    <row r="133" spans="2:16" s="88" customFormat="1" x14ac:dyDescent="0.3">
      <c r="B133" s="90" t="str">
        <f>IF(TRIM(G133)&lt;&gt;"",COUNTA($G$57:G133)&amp;"","")</f>
        <v/>
      </c>
      <c r="C133" s="91"/>
      <c r="D133" s="91"/>
      <c r="E133" s="141">
        <v>30000</v>
      </c>
      <c r="F133" s="2" t="s">
        <v>44</v>
      </c>
      <c r="G133" s="105"/>
      <c r="H133" s="91"/>
      <c r="I133" s="91"/>
      <c r="J133" s="91"/>
      <c r="K133" s="91"/>
      <c r="L133" s="91"/>
      <c r="M133" s="93"/>
      <c r="N133" s="93"/>
      <c r="O133" s="93"/>
      <c r="P133" s="94"/>
    </row>
    <row r="134" spans="2:16" s="88" customFormat="1" x14ac:dyDescent="0.3">
      <c r="B134" s="90" t="str">
        <f>IF(TRIM(G134)&lt;&gt;"",COUNTA($G$57:G134)&amp;"","")</f>
        <v/>
      </c>
      <c r="C134" s="91"/>
      <c r="D134" s="104"/>
      <c r="E134" s="141">
        <v>33000</v>
      </c>
      <c r="F134" s="25" t="s">
        <v>45</v>
      </c>
      <c r="G134" s="105"/>
      <c r="H134" s="91"/>
      <c r="I134" s="91"/>
      <c r="J134" s="91"/>
      <c r="K134" s="91"/>
      <c r="L134" s="91"/>
      <c r="M134" s="93"/>
      <c r="N134" s="93"/>
      <c r="O134" s="93"/>
      <c r="P134" s="94"/>
    </row>
    <row r="135" spans="2:16" s="26" customFormat="1" ht="13.95" customHeight="1" x14ac:dyDescent="0.3">
      <c r="B135" s="46" t="str">
        <f>IF(TRIM(G135)&lt;&gt;"",COUNTA($G$57:G135)&amp;"","")</f>
        <v/>
      </c>
      <c r="C135" s="177" t="s">
        <v>219</v>
      </c>
      <c r="D135" s="177"/>
      <c r="E135" s="177"/>
      <c r="F135" s="115" t="s">
        <v>106</v>
      </c>
      <c r="G135" s="33"/>
      <c r="H135" s="47"/>
      <c r="I135" s="47"/>
      <c r="J135" s="144"/>
      <c r="K135" s="116"/>
      <c r="L135" s="47"/>
      <c r="M135" s="66"/>
      <c r="N135" s="117"/>
      <c r="O135" s="117"/>
      <c r="P135" s="52"/>
    </row>
    <row r="136" spans="2:16" s="26" customFormat="1" x14ac:dyDescent="0.3">
      <c r="B136" s="46" t="str">
        <f>IF(TRIM(G136)&lt;&gt;"",COUNTA($G$57:G136)&amp;"","")</f>
        <v>65</v>
      </c>
      <c r="C136" s="177"/>
      <c r="D136" s="177"/>
      <c r="E136" s="177"/>
      <c r="F136" s="118" t="s">
        <v>46</v>
      </c>
      <c r="G136" s="33">
        <v>85</v>
      </c>
      <c r="H136" s="47">
        <f>(55.41*1.5)</f>
        <v>83.114999999999995</v>
      </c>
      <c r="I136" s="47" t="s">
        <v>38</v>
      </c>
      <c r="J136" s="160"/>
      <c r="K136" s="161"/>
      <c r="L136" s="161"/>
      <c r="M136" s="158"/>
      <c r="N136" s="161"/>
      <c r="O136" s="161"/>
      <c r="P136" s="162"/>
    </row>
    <row r="137" spans="2:16" s="26" customFormat="1" x14ac:dyDescent="0.3">
      <c r="B137" s="46" t="str">
        <f>IF(TRIM(G137)&lt;&gt;"",COUNTA($G$57:G137)&amp;"","")</f>
        <v>66</v>
      </c>
      <c r="C137" s="177"/>
      <c r="D137" s="177"/>
      <c r="E137" s="177"/>
      <c r="F137" s="118" t="s">
        <v>47</v>
      </c>
      <c r="G137" s="33">
        <v>56</v>
      </c>
      <c r="H137" s="47">
        <f>(2*55.41*0.5)</f>
        <v>55.41</v>
      </c>
      <c r="I137" s="47" t="s">
        <v>38</v>
      </c>
      <c r="J137" s="160"/>
      <c r="K137" s="161"/>
      <c r="L137" s="161"/>
      <c r="M137" s="158"/>
      <c r="N137" s="161"/>
      <c r="O137" s="161"/>
      <c r="P137" s="162"/>
    </row>
    <row r="138" spans="2:16" s="26" customFormat="1" x14ac:dyDescent="0.3">
      <c r="B138" s="46" t="str">
        <f>IF(TRIM(G138)&lt;&gt;"",COUNTA($G$57:G138)&amp;"","")</f>
        <v>67</v>
      </c>
      <c r="C138" s="177"/>
      <c r="D138" s="177"/>
      <c r="E138" s="177"/>
      <c r="F138" s="121" t="s">
        <v>48</v>
      </c>
      <c r="G138" s="33">
        <v>45</v>
      </c>
      <c r="H138" s="47">
        <f>(28*1.6)</f>
        <v>44.800000000000004</v>
      </c>
      <c r="I138" s="47" t="s">
        <v>49</v>
      </c>
      <c r="J138" s="160"/>
      <c r="K138" s="161"/>
      <c r="L138" s="161"/>
      <c r="M138" s="158"/>
      <c r="N138" s="161"/>
      <c r="O138" s="161"/>
      <c r="P138" s="162"/>
    </row>
    <row r="139" spans="2:16" s="26" customFormat="1" x14ac:dyDescent="0.3">
      <c r="B139" s="46" t="str">
        <f>IF(TRIM(G139)&lt;&gt;"",COUNTA($G$57:G139)&amp;"","")</f>
        <v>68</v>
      </c>
      <c r="C139" s="177"/>
      <c r="D139" s="177"/>
      <c r="E139" s="177"/>
      <c r="F139" s="121" t="s">
        <v>116</v>
      </c>
      <c r="G139" s="33">
        <v>6</v>
      </c>
      <c r="H139" s="47">
        <f>(4*2*0.668)</f>
        <v>5.3440000000000003</v>
      </c>
      <c r="I139" s="47" t="s">
        <v>49</v>
      </c>
      <c r="J139" s="160"/>
      <c r="K139" s="161"/>
      <c r="L139" s="161"/>
      <c r="M139" s="158"/>
      <c r="N139" s="161"/>
      <c r="O139" s="161"/>
      <c r="P139" s="162"/>
    </row>
    <row r="140" spans="2:16" s="26" customFormat="1" x14ac:dyDescent="0.3">
      <c r="B140" s="46" t="str">
        <f>IF(TRIM(G140)&lt;&gt;"",COUNTA($G$57:G140)&amp;"","")</f>
        <v>69</v>
      </c>
      <c r="C140" s="177"/>
      <c r="D140" s="177"/>
      <c r="E140" s="177"/>
      <c r="F140" s="121" t="s">
        <v>50</v>
      </c>
      <c r="G140" s="33">
        <v>28</v>
      </c>
      <c r="H140" s="47">
        <f>(55.41*1*0.5)</f>
        <v>27.704999999999998</v>
      </c>
      <c r="I140" s="47" t="s">
        <v>41</v>
      </c>
      <c r="J140" s="160"/>
      <c r="K140" s="161"/>
      <c r="L140" s="161"/>
      <c r="M140" s="158"/>
      <c r="N140" s="161"/>
      <c r="O140" s="161"/>
      <c r="P140" s="162"/>
    </row>
    <row r="141" spans="2:16" s="26" customFormat="1" ht="13.95" customHeight="1" x14ac:dyDescent="0.3">
      <c r="B141" s="46" t="str">
        <f>IF(TRIM(G141)&lt;&gt;"",COUNTA($G$57:G141)&amp;"","")</f>
        <v/>
      </c>
      <c r="C141" s="177" t="s">
        <v>219</v>
      </c>
      <c r="D141" s="177"/>
      <c r="E141" s="177"/>
      <c r="F141" s="115" t="s">
        <v>107</v>
      </c>
      <c r="G141" s="33"/>
      <c r="H141" s="47"/>
      <c r="I141" s="47"/>
      <c r="J141" s="144"/>
      <c r="K141" s="116"/>
      <c r="L141" s="47"/>
      <c r="M141" s="66"/>
      <c r="N141" s="117"/>
      <c r="O141" s="117"/>
      <c r="P141" s="52"/>
    </row>
    <row r="142" spans="2:16" s="26" customFormat="1" x14ac:dyDescent="0.3">
      <c r="B142" s="46" t="str">
        <f>IF(TRIM(G142)&lt;&gt;"",COUNTA($G$57:G142)&amp;"","")</f>
        <v>70</v>
      </c>
      <c r="C142" s="177"/>
      <c r="D142" s="177"/>
      <c r="E142" s="177"/>
      <c r="F142" s="118" t="s">
        <v>46</v>
      </c>
      <c r="G142" s="33">
        <v>20</v>
      </c>
      <c r="H142" s="47">
        <f>(12.63*1.5)</f>
        <v>18.945</v>
      </c>
      <c r="I142" s="47" t="s">
        <v>38</v>
      </c>
      <c r="J142" s="160"/>
      <c r="K142" s="161"/>
      <c r="L142" s="161"/>
      <c r="M142" s="158"/>
      <c r="N142" s="161"/>
      <c r="O142" s="161"/>
      <c r="P142" s="162"/>
    </row>
    <row r="143" spans="2:16" s="26" customFormat="1" x14ac:dyDescent="0.3">
      <c r="B143" s="46" t="str">
        <f>IF(TRIM(G143)&lt;&gt;"",COUNTA($G$57:G143)&amp;"","")</f>
        <v>71</v>
      </c>
      <c r="C143" s="177"/>
      <c r="D143" s="177"/>
      <c r="E143" s="177"/>
      <c r="F143" s="118" t="s">
        <v>47</v>
      </c>
      <c r="G143" s="33">
        <v>26</v>
      </c>
      <c r="H143" s="47">
        <f>(2*12.63*1)</f>
        <v>25.26</v>
      </c>
      <c r="I143" s="47" t="s">
        <v>38</v>
      </c>
      <c r="J143" s="160"/>
      <c r="K143" s="161"/>
      <c r="L143" s="161"/>
      <c r="M143" s="158"/>
      <c r="N143" s="161"/>
      <c r="O143" s="161"/>
      <c r="P143" s="162"/>
    </row>
    <row r="144" spans="2:16" s="26" customFormat="1" x14ac:dyDescent="0.3">
      <c r="B144" s="46" t="str">
        <f>IF(TRIM(G144)&lt;&gt;"",COUNTA($G$57:G144)&amp;"","")</f>
        <v>72</v>
      </c>
      <c r="C144" s="177"/>
      <c r="D144" s="177"/>
      <c r="E144" s="177"/>
      <c r="F144" s="121" t="s">
        <v>48</v>
      </c>
      <c r="G144" s="33">
        <v>21</v>
      </c>
      <c r="H144" s="47">
        <f>(13*1.6)</f>
        <v>20.8</v>
      </c>
      <c r="I144" s="47" t="s">
        <v>49</v>
      </c>
      <c r="J144" s="160"/>
      <c r="K144" s="161"/>
      <c r="L144" s="161"/>
      <c r="M144" s="158"/>
      <c r="N144" s="161"/>
      <c r="O144" s="161"/>
      <c r="P144" s="162"/>
    </row>
    <row r="145" spans="2:17" s="26" customFormat="1" x14ac:dyDescent="0.3">
      <c r="B145" s="46" t="str">
        <f>IF(TRIM(G145)&lt;&gt;"",COUNTA($G$57:G145)&amp;"","")</f>
        <v>73</v>
      </c>
      <c r="C145" s="177"/>
      <c r="D145" s="177"/>
      <c r="E145" s="177"/>
      <c r="F145" s="121" t="s">
        <v>50</v>
      </c>
      <c r="G145" s="33">
        <v>13</v>
      </c>
      <c r="H145" s="47">
        <f>(12.63*1*1)</f>
        <v>12.63</v>
      </c>
      <c r="I145" s="47" t="s">
        <v>41</v>
      </c>
      <c r="J145" s="160"/>
      <c r="K145" s="161"/>
      <c r="L145" s="161"/>
      <c r="M145" s="158"/>
      <c r="N145" s="161"/>
      <c r="O145" s="161"/>
      <c r="P145" s="162"/>
    </row>
    <row r="146" spans="2:17" s="26" customFormat="1" ht="13.95" customHeight="1" x14ac:dyDescent="0.3">
      <c r="B146" s="46" t="str">
        <f>IF(TRIM(G146)&lt;&gt;"",COUNTA($G$57:G146)&amp;"","")</f>
        <v/>
      </c>
      <c r="C146" s="177" t="s">
        <v>219</v>
      </c>
      <c r="D146" s="177"/>
      <c r="E146" s="177"/>
      <c r="F146" s="115" t="s">
        <v>108</v>
      </c>
      <c r="G146" s="33"/>
      <c r="H146" s="47"/>
      <c r="I146" s="47"/>
      <c r="J146" s="144"/>
      <c r="K146" s="116"/>
      <c r="L146" s="47"/>
      <c r="M146" s="66"/>
      <c r="N146" s="117"/>
      <c r="O146" s="117"/>
      <c r="P146" s="52"/>
    </row>
    <row r="147" spans="2:17" s="26" customFormat="1" x14ac:dyDescent="0.3">
      <c r="B147" s="46" t="str">
        <f>IF(TRIM(G147)&lt;&gt;"",COUNTA($G$57:G147)&amp;"","")</f>
        <v>74</v>
      </c>
      <c r="C147" s="177"/>
      <c r="D147" s="177"/>
      <c r="E147" s="177"/>
      <c r="F147" s="118" t="s">
        <v>46</v>
      </c>
      <c r="G147" s="33">
        <v>5</v>
      </c>
      <c r="H147" s="47">
        <f>(3.01*1.5)</f>
        <v>4.5149999999999997</v>
      </c>
      <c r="I147" s="47" t="s">
        <v>38</v>
      </c>
      <c r="J147" s="160"/>
      <c r="K147" s="161"/>
      <c r="L147" s="161"/>
      <c r="M147" s="158"/>
      <c r="N147" s="161"/>
      <c r="O147" s="161"/>
      <c r="P147" s="162"/>
    </row>
    <row r="148" spans="2:17" s="26" customFormat="1" x14ac:dyDescent="0.3">
      <c r="B148" s="46" t="str">
        <f>IF(TRIM(G148)&lt;&gt;"",COUNTA($G$57:G148)&amp;"","")</f>
        <v>75</v>
      </c>
      <c r="C148" s="177"/>
      <c r="D148" s="177"/>
      <c r="E148" s="177"/>
      <c r="F148" s="118" t="s">
        <v>47</v>
      </c>
      <c r="G148" s="33">
        <v>15</v>
      </c>
      <c r="H148" s="47">
        <f>(2*3.01*2.5)</f>
        <v>15.049999999999999</v>
      </c>
      <c r="I148" s="47" t="s">
        <v>38</v>
      </c>
      <c r="J148" s="160"/>
      <c r="K148" s="161"/>
      <c r="L148" s="161"/>
      <c r="M148" s="158"/>
      <c r="N148" s="161"/>
      <c r="O148" s="161"/>
      <c r="P148" s="162"/>
    </row>
    <row r="149" spans="2:17" s="26" customFormat="1" x14ac:dyDescent="0.3">
      <c r="B149" s="46" t="str">
        <f>IF(TRIM(G149)&lt;&gt;"",COUNTA($G$57:G149)&amp;"","")</f>
        <v>76</v>
      </c>
      <c r="C149" s="177"/>
      <c r="D149" s="177"/>
      <c r="E149" s="177"/>
      <c r="F149" s="121" t="s">
        <v>48</v>
      </c>
      <c r="G149" s="33">
        <v>15</v>
      </c>
      <c r="H149" s="47">
        <f>(8*1.6)</f>
        <v>12.8</v>
      </c>
      <c r="I149" s="47" t="s">
        <v>49</v>
      </c>
      <c r="J149" s="160"/>
      <c r="K149" s="161"/>
      <c r="L149" s="161"/>
      <c r="M149" s="158"/>
      <c r="N149" s="161"/>
      <c r="O149" s="161"/>
      <c r="P149" s="162"/>
    </row>
    <row r="150" spans="2:17" s="26" customFormat="1" x14ac:dyDescent="0.3">
      <c r="B150" s="46" t="str">
        <f>IF(TRIM(G150)&lt;&gt;"",COUNTA($G$57:G150)&amp;"","")</f>
        <v>77</v>
      </c>
      <c r="C150" s="177"/>
      <c r="D150" s="177"/>
      <c r="E150" s="177"/>
      <c r="F150" s="121" t="s">
        <v>50</v>
      </c>
      <c r="G150" s="33">
        <v>8</v>
      </c>
      <c r="H150" s="47">
        <f>(3.01*1*2.5)</f>
        <v>7.5249999999999995</v>
      </c>
      <c r="I150" s="47" t="s">
        <v>41</v>
      </c>
      <c r="J150" s="160"/>
      <c r="K150" s="161"/>
      <c r="L150" s="161"/>
      <c r="M150" s="158"/>
      <c r="N150" s="161"/>
      <c r="O150" s="161"/>
      <c r="P150" s="162"/>
    </row>
    <row r="151" spans="2:17" s="88" customFormat="1" x14ac:dyDescent="0.3">
      <c r="B151" s="46" t="str">
        <f>IF(TRIM(G151)&lt;&gt;"",COUNTA($G$57:G151)&amp;"","")</f>
        <v/>
      </c>
      <c r="C151" s="184" t="s">
        <v>219</v>
      </c>
      <c r="D151" s="184"/>
      <c r="E151" s="184"/>
      <c r="F151" s="115" t="s">
        <v>109</v>
      </c>
      <c r="G151" s="33"/>
      <c r="H151" s="47"/>
      <c r="I151" s="47"/>
      <c r="J151" s="6"/>
      <c r="K151" s="6"/>
      <c r="L151" s="6"/>
      <c r="M151" s="70"/>
      <c r="N151" s="6"/>
      <c r="O151" s="6"/>
      <c r="P151" s="52"/>
    </row>
    <row r="152" spans="2:17" s="26" customFormat="1" x14ac:dyDescent="0.3">
      <c r="B152" s="46" t="str">
        <f>IF(TRIM(G152)&lt;&gt;"",COUNTA($G$57:G152)&amp;"","")</f>
        <v>78</v>
      </c>
      <c r="C152" s="185"/>
      <c r="D152" s="185"/>
      <c r="E152" s="185"/>
      <c r="F152" s="118" t="s">
        <v>47</v>
      </c>
      <c r="G152" s="33">
        <v>333</v>
      </c>
      <c r="H152" s="47">
        <f>(2*55.41*3)</f>
        <v>332.46</v>
      </c>
      <c r="I152" s="47" t="s">
        <v>38</v>
      </c>
      <c r="J152" s="160"/>
      <c r="K152" s="161"/>
      <c r="L152" s="161"/>
      <c r="M152" s="158"/>
      <c r="N152" s="161"/>
      <c r="O152" s="161"/>
      <c r="P152" s="162"/>
    </row>
    <row r="153" spans="2:17" s="88" customFormat="1" x14ac:dyDescent="0.3">
      <c r="B153" s="46" t="str">
        <f>IF(TRIM(G153)&lt;&gt;"",COUNTA($G$57:G153)&amp;"","")</f>
        <v>79</v>
      </c>
      <c r="C153" s="185"/>
      <c r="D153" s="185"/>
      <c r="E153" s="185"/>
      <c r="F153" s="121" t="s">
        <v>48</v>
      </c>
      <c r="G153" s="33">
        <v>190</v>
      </c>
      <c r="H153" s="47">
        <f>(83*2.25)</f>
        <v>186.75</v>
      </c>
      <c r="I153" s="47" t="s">
        <v>49</v>
      </c>
      <c r="J153" s="160"/>
      <c r="K153" s="161"/>
      <c r="L153" s="161"/>
      <c r="M153" s="158"/>
      <c r="N153" s="161"/>
      <c r="O153" s="161"/>
      <c r="P153" s="162"/>
    </row>
    <row r="154" spans="2:17" s="26" customFormat="1" x14ac:dyDescent="0.3">
      <c r="B154" s="46" t="str">
        <f>IF(TRIM(G154)&lt;&gt;"",COUNTA($G$57:G154)&amp;"","")</f>
        <v>80</v>
      </c>
      <c r="C154" s="185"/>
      <c r="D154" s="185"/>
      <c r="E154" s="185"/>
      <c r="F154" s="121" t="s">
        <v>116</v>
      </c>
      <c r="G154" s="33">
        <v>6</v>
      </c>
      <c r="H154" s="47">
        <f>(4*2*0.668)</f>
        <v>5.3440000000000003</v>
      </c>
      <c r="I154" s="47" t="s">
        <v>49</v>
      </c>
      <c r="J154" s="160"/>
      <c r="K154" s="161"/>
      <c r="L154" s="161"/>
      <c r="M154" s="158"/>
      <c r="N154" s="161"/>
      <c r="O154" s="161"/>
      <c r="P154" s="162"/>
    </row>
    <row r="155" spans="2:17" s="88" customFormat="1" x14ac:dyDescent="0.3">
      <c r="B155" s="46" t="str">
        <f>IF(TRIM(G155)&lt;&gt;"",COUNTA($G$57:G155)&amp;"","")</f>
        <v>81</v>
      </c>
      <c r="C155" s="185"/>
      <c r="D155" s="185"/>
      <c r="E155" s="185"/>
      <c r="F155" s="121" t="s">
        <v>110</v>
      </c>
      <c r="G155" s="33">
        <v>83</v>
      </c>
      <c r="H155" s="47">
        <f>(55.41*0.5*3)</f>
        <v>83.114999999999995</v>
      </c>
      <c r="I155" s="173" t="s">
        <v>41</v>
      </c>
      <c r="J155" s="164"/>
      <c r="K155" s="161"/>
      <c r="L155" s="161"/>
      <c r="M155" s="158"/>
      <c r="N155" s="165"/>
      <c r="O155" s="161"/>
      <c r="P155" s="162"/>
      <c r="Q155" s="163"/>
    </row>
    <row r="156" spans="2:17" s="88" customFormat="1" x14ac:dyDescent="0.3">
      <c r="B156" s="46" t="str">
        <f>IF(TRIM(G156)&lt;&gt;"",COUNTA($G$57:G156)&amp;"","")</f>
        <v/>
      </c>
      <c r="C156" s="178" t="s">
        <v>219</v>
      </c>
      <c r="D156" s="178"/>
      <c r="E156" s="178"/>
      <c r="F156" s="115" t="s">
        <v>51</v>
      </c>
      <c r="G156" s="33"/>
      <c r="H156" s="47"/>
      <c r="I156" s="47"/>
      <c r="J156" s="6"/>
      <c r="K156" s="6"/>
      <c r="L156" s="6"/>
      <c r="M156" s="70"/>
      <c r="N156" s="6"/>
      <c r="O156" s="6"/>
      <c r="P156" s="52"/>
    </row>
    <row r="157" spans="2:17" s="88" customFormat="1" x14ac:dyDescent="0.3">
      <c r="B157" s="46" t="str">
        <f>IF(TRIM(G157)&lt;&gt;"",COUNTA($G$57:G157)&amp;"","")</f>
        <v>82</v>
      </c>
      <c r="C157" s="179"/>
      <c r="D157" s="179"/>
      <c r="E157" s="179"/>
      <c r="F157" s="118" t="s">
        <v>46</v>
      </c>
      <c r="G157" s="33">
        <v>5</v>
      </c>
      <c r="H157" s="47">
        <v>5</v>
      </c>
      <c r="I157" s="47" t="s">
        <v>38</v>
      </c>
      <c r="J157" s="160"/>
      <c r="K157" s="161"/>
      <c r="L157" s="161"/>
      <c r="M157" s="158"/>
      <c r="N157" s="161"/>
      <c r="O157" s="161"/>
      <c r="P157" s="162"/>
    </row>
    <row r="158" spans="2:17" s="88" customFormat="1" ht="27.6" x14ac:dyDescent="0.3">
      <c r="B158" s="46" t="str">
        <f>IF(TRIM(G158)&lt;&gt;"",COUNTA($G$57:G158)&amp;"","")</f>
        <v>83</v>
      </c>
      <c r="C158" s="180"/>
      <c r="D158" s="180"/>
      <c r="E158" s="180"/>
      <c r="F158" s="121" t="s">
        <v>52</v>
      </c>
      <c r="G158" s="33">
        <v>5</v>
      </c>
      <c r="H158" s="47">
        <v>5</v>
      </c>
      <c r="I158" s="47" t="s">
        <v>38</v>
      </c>
      <c r="J158" s="160"/>
      <c r="K158" s="161"/>
      <c r="L158" s="161"/>
      <c r="M158" s="158"/>
      <c r="N158" s="161"/>
      <c r="O158" s="161"/>
      <c r="P158" s="162"/>
    </row>
    <row r="159" spans="2:17" s="88" customFormat="1" x14ac:dyDescent="0.3">
      <c r="B159" s="46" t="str">
        <f>IF(TRIM(G159)&lt;&gt;"",COUNTA($G$57:G159)&amp;"","")</f>
        <v/>
      </c>
      <c r="C159" s="178" t="s">
        <v>219</v>
      </c>
      <c r="D159" s="178"/>
      <c r="E159" s="178"/>
      <c r="F159" s="115" t="s">
        <v>51</v>
      </c>
      <c r="G159" s="33"/>
      <c r="H159" s="47"/>
      <c r="I159" s="47"/>
      <c r="J159" s="6"/>
      <c r="K159" s="6"/>
      <c r="L159" s="6"/>
      <c r="M159" s="70"/>
      <c r="N159" s="6"/>
      <c r="O159" s="6"/>
      <c r="P159" s="52"/>
    </row>
    <row r="160" spans="2:17" s="88" customFormat="1" x14ac:dyDescent="0.3">
      <c r="B160" s="46" t="str">
        <f>IF(TRIM(G160)&lt;&gt;"",COUNTA($G$57:G160)&amp;"","")</f>
        <v>84</v>
      </c>
      <c r="C160" s="179"/>
      <c r="D160" s="179"/>
      <c r="E160" s="179"/>
      <c r="F160" s="118" t="s">
        <v>46</v>
      </c>
      <c r="G160" s="33">
        <v>245</v>
      </c>
      <c r="H160" s="47">
        <v>241.96</v>
      </c>
      <c r="I160" s="47" t="s">
        <v>38</v>
      </c>
      <c r="J160" s="160"/>
      <c r="K160" s="161"/>
      <c r="L160" s="161"/>
      <c r="M160" s="158"/>
      <c r="N160" s="161"/>
      <c r="O160" s="161"/>
      <c r="P160" s="162"/>
    </row>
    <row r="161" spans="2:16" s="88" customFormat="1" x14ac:dyDescent="0.3">
      <c r="B161" s="46" t="str">
        <f>IF(TRIM(G161)&lt;&gt;"",COUNTA($G$57:G161)&amp;"","")</f>
        <v>85</v>
      </c>
      <c r="C161" s="179"/>
      <c r="D161" s="179"/>
      <c r="E161" s="179"/>
      <c r="F161" s="121" t="s">
        <v>111</v>
      </c>
      <c r="G161" s="33">
        <f>0.33*0.05*245</f>
        <v>4.0425000000000004</v>
      </c>
      <c r="H161" s="47">
        <v>241.96</v>
      </c>
      <c r="I161" s="47" t="s">
        <v>273</v>
      </c>
      <c r="J161" s="160"/>
      <c r="K161" s="161"/>
      <c r="L161" s="161"/>
      <c r="M161" s="158"/>
      <c r="N161" s="161"/>
      <c r="O161" s="119"/>
      <c r="P161" s="52"/>
    </row>
    <row r="162" spans="2:16" s="88" customFormat="1" x14ac:dyDescent="0.3">
      <c r="B162" s="46" t="str">
        <f>IF(TRIM(G162)&lt;&gt;"",COUNTA($G$57:G162)&amp;"","")</f>
        <v>86</v>
      </c>
      <c r="C162" s="179"/>
      <c r="D162" s="179"/>
      <c r="E162" s="179"/>
      <c r="F162" s="121" t="s">
        <v>112</v>
      </c>
      <c r="G162" s="33">
        <v>245</v>
      </c>
      <c r="H162" s="47">
        <v>241.96</v>
      </c>
      <c r="I162" s="47" t="s">
        <v>38</v>
      </c>
      <c r="J162" s="164"/>
      <c r="K162" s="161"/>
      <c r="L162" s="161"/>
      <c r="M162" s="158"/>
      <c r="N162" s="165"/>
      <c r="O162" s="161"/>
      <c r="P162" s="162"/>
    </row>
    <row r="163" spans="2:16" s="88" customFormat="1" x14ac:dyDescent="0.3">
      <c r="B163" s="46" t="str">
        <f>IF(TRIM(G163)&lt;&gt;"",COUNTA($G$57:G163)&amp;"","")</f>
        <v>87</v>
      </c>
      <c r="C163" s="179"/>
      <c r="D163" s="179"/>
      <c r="E163" s="179"/>
      <c r="F163" s="121" t="s">
        <v>48</v>
      </c>
      <c r="G163" s="33">
        <v>295</v>
      </c>
      <c r="H163" s="47">
        <f>(245*1.2)</f>
        <v>294</v>
      </c>
      <c r="I163" s="47" t="s">
        <v>49</v>
      </c>
      <c r="J163" s="160"/>
      <c r="K163" s="161"/>
      <c r="L163" s="161"/>
      <c r="M163" s="158"/>
      <c r="N163" s="161"/>
      <c r="O163" s="161"/>
      <c r="P163" s="162"/>
    </row>
    <row r="164" spans="2:16" s="88" customFormat="1" x14ac:dyDescent="0.3">
      <c r="B164" s="46" t="str">
        <f>IF(TRIM(G164)&lt;&gt;"",COUNTA($G$57:G164)&amp;"","")</f>
        <v>88</v>
      </c>
      <c r="C164" s="180"/>
      <c r="D164" s="180"/>
      <c r="E164" s="180"/>
      <c r="F164" s="121" t="s">
        <v>113</v>
      </c>
      <c r="G164" s="33">
        <v>245</v>
      </c>
      <c r="H164" s="47">
        <v>241.96</v>
      </c>
      <c r="I164" s="47" t="s">
        <v>38</v>
      </c>
      <c r="J164" s="160"/>
      <c r="K164" s="161"/>
      <c r="L164" s="161"/>
      <c r="M164" s="158"/>
      <c r="N164" s="161"/>
      <c r="O164" s="161"/>
      <c r="P164" s="162"/>
    </row>
    <row r="165" spans="2:16" s="88" customFormat="1" x14ac:dyDescent="0.3">
      <c r="B165" s="46" t="str">
        <f>IF(TRIM(G165)&lt;&gt;"",COUNTA($G$57:G165)&amp;"","")</f>
        <v/>
      </c>
      <c r="C165" s="178" t="s">
        <v>219</v>
      </c>
      <c r="D165" s="178"/>
      <c r="E165" s="178"/>
      <c r="F165" s="115" t="s">
        <v>114</v>
      </c>
      <c r="G165" s="33"/>
      <c r="H165" s="47"/>
      <c r="I165" s="47"/>
      <c r="J165" s="6"/>
      <c r="K165" s="6"/>
      <c r="L165" s="6"/>
      <c r="M165" s="70"/>
      <c r="N165" s="6"/>
      <c r="O165" s="6"/>
      <c r="P165" s="52"/>
    </row>
    <row r="166" spans="2:16" s="88" customFormat="1" x14ac:dyDescent="0.3">
      <c r="B166" s="46" t="str">
        <f>IF(TRIM(G166)&lt;&gt;"",COUNTA($G$57:G166)&amp;"","")</f>
        <v>89</v>
      </c>
      <c r="C166" s="179"/>
      <c r="D166" s="179"/>
      <c r="E166" s="179"/>
      <c r="F166" s="118" t="s">
        <v>46</v>
      </c>
      <c r="G166" s="33">
        <v>60</v>
      </c>
      <c r="H166" s="47">
        <f>111.82/2</f>
        <v>55.91</v>
      </c>
      <c r="I166" s="47" t="s">
        <v>38</v>
      </c>
      <c r="J166" s="160"/>
      <c r="K166" s="161"/>
      <c r="L166" s="161"/>
      <c r="M166" s="158"/>
      <c r="N166" s="161"/>
      <c r="O166" s="161"/>
      <c r="P166" s="162"/>
    </row>
    <row r="167" spans="2:16" s="88" customFormat="1" x14ac:dyDescent="0.3">
      <c r="B167" s="46" t="str">
        <f>IF(TRIM(G167)&lt;&gt;"",COUNTA($G$57:G167)&amp;"","")</f>
        <v>90</v>
      </c>
      <c r="C167" s="179"/>
      <c r="D167" s="179"/>
      <c r="E167" s="179"/>
      <c r="F167" s="121" t="s">
        <v>111</v>
      </c>
      <c r="G167" s="33">
        <v>2</v>
      </c>
      <c r="H167" s="47">
        <f>111.82/2</f>
        <v>55.91</v>
      </c>
      <c r="I167" s="47" t="s">
        <v>273</v>
      </c>
      <c r="J167" s="160"/>
      <c r="K167" s="161"/>
      <c r="L167" s="161"/>
      <c r="M167" s="158"/>
      <c r="N167" s="161"/>
      <c r="O167" s="119"/>
      <c r="P167" s="52"/>
    </row>
    <row r="168" spans="2:16" s="88" customFormat="1" x14ac:dyDescent="0.3">
      <c r="B168" s="46" t="str">
        <f>IF(TRIM(G168)&lt;&gt;"",COUNTA($G$57:G168)&amp;"","")</f>
        <v>91</v>
      </c>
      <c r="C168" s="179"/>
      <c r="D168" s="179"/>
      <c r="E168" s="179"/>
      <c r="F168" s="121" t="s">
        <v>112</v>
      </c>
      <c r="G168" s="33">
        <v>60</v>
      </c>
      <c r="H168" s="47">
        <f>111.82/2</f>
        <v>55.91</v>
      </c>
      <c r="I168" s="47" t="s">
        <v>38</v>
      </c>
      <c r="J168" s="164"/>
      <c r="K168" s="161"/>
      <c r="L168" s="161"/>
      <c r="M168" s="158"/>
      <c r="N168" s="165"/>
      <c r="O168" s="161"/>
      <c r="P168" s="162"/>
    </row>
    <row r="169" spans="2:16" s="88" customFormat="1" x14ac:dyDescent="0.3">
      <c r="B169" s="46" t="str">
        <f>IF(TRIM(G169)&lt;&gt;"",COUNTA($G$57:G169)&amp;"","")</f>
        <v>92</v>
      </c>
      <c r="C169" s="179"/>
      <c r="D169" s="179"/>
      <c r="E169" s="179"/>
      <c r="F169" s="121" t="s">
        <v>48</v>
      </c>
      <c r="G169" s="33">
        <v>200</v>
      </c>
      <c r="H169" s="47">
        <f>(60*3.25)</f>
        <v>195</v>
      </c>
      <c r="I169" s="47" t="s">
        <v>49</v>
      </c>
      <c r="J169" s="160"/>
      <c r="K169" s="161"/>
      <c r="L169" s="161"/>
      <c r="M169" s="158"/>
      <c r="N169" s="161"/>
      <c r="O169" s="161"/>
      <c r="P169" s="162"/>
    </row>
    <row r="170" spans="2:16" s="88" customFormat="1" x14ac:dyDescent="0.3">
      <c r="B170" s="46" t="str">
        <f>IF(TRIM(G170)&lt;&gt;"",COUNTA($G$57:G170)&amp;"","")</f>
        <v>93</v>
      </c>
      <c r="C170" s="180"/>
      <c r="D170" s="180"/>
      <c r="E170" s="180"/>
      <c r="F170" s="121" t="s">
        <v>115</v>
      </c>
      <c r="G170" s="33">
        <v>60</v>
      </c>
      <c r="H170" s="47">
        <f>(111.82*0.5)</f>
        <v>55.91</v>
      </c>
      <c r="I170" s="47" t="s">
        <v>41</v>
      </c>
      <c r="J170" s="157"/>
      <c r="K170" s="161"/>
      <c r="L170" s="119"/>
      <c r="M170" s="120"/>
      <c r="N170" s="119"/>
      <c r="O170" s="161"/>
      <c r="P170" s="162"/>
    </row>
    <row r="171" spans="2:16" s="88" customFormat="1" ht="14.4" thickBot="1" x14ac:dyDescent="0.35">
      <c r="B171" s="89" t="str">
        <f>IF(TRIM(G171)&lt;&gt;"",COUNTA($G$57:G171)&amp;"","")</f>
        <v/>
      </c>
      <c r="C171" s="142"/>
      <c r="D171" s="142"/>
      <c r="E171" s="2"/>
      <c r="F171" s="19" t="s">
        <v>8</v>
      </c>
      <c r="G171" s="34"/>
      <c r="H171" s="20"/>
      <c r="I171" s="20"/>
      <c r="J171" s="21"/>
      <c r="K171" s="21"/>
      <c r="L171" s="21"/>
      <c r="M171" s="67"/>
      <c r="N171" s="21"/>
      <c r="O171" s="21"/>
      <c r="P171" s="53"/>
    </row>
    <row r="172" spans="2:16" s="88" customFormat="1" x14ac:dyDescent="0.3">
      <c r="B172" s="89" t="str">
        <f>IF(TRIM(G172)&lt;&gt;"",COUNTA($G$57:G172)&amp;"","")</f>
        <v/>
      </c>
      <c r="C172" s="142"/>
      <c r="D172" s="142"/>
      <c r="E172" s="2"/>
      <c r="F172" s="2"/>
      <c r="G172" s="35"/>
      <c r="H172" s="22"/>
      <c r="I172" s="22"/>
      <c r="J172" s="23"/>
      <c r="K172" s="23"/>
      <c r="L172" s="23"/>
      <c r="M172" s="68"/>
      <c r="N172" s="23"/>
      <c r="O172" s="23"/>
      <c r="P172" s="100"/>
    </row>
    <row r="173" spans="2:16" s="88" customFormat="1" x14ac:dyDescent="0.3">
      <c r="B173" s="89" t="str">
        <f>IF(TRIM(G173)&lt;&gt;"",COUNTA($G$57:G173)&amp;"","")</f>
        <v/>
      </c>
      <c r="C173" s="142"/>
      <c r="D173" s="142"/>
      <c r="E173" s="2"/>
      <c r="F173" s="2"/>
      <c r="G173" s="36"/>
      <c r="H173" s="2"/>
      <c r="I173" s="2"/>
      <c r="J173" s="24"/>
      <c r="K173" s="24"/>
      <c r="L173" s="24"/>
      <c r="M173" s="69"/>
      <c r="N173" s="24"/>
      <c r="O173" s="24"/>
      <c r="P173" s="101"/>
    </row>
    <row r="174" spans="2:16" s="88" customFormat="1" x14ac:dyDescent="0.3">
      <c r="B174" s="90" t="str">
        <f>IF(TRIM(G174)&lt;&gt;"",COUNTA($G$57:G174)&amp;"","")</f>
        <v/>
      </c>
      <c r="C174" s="91"/>
      <c r="D174" s="91"/>
      <c r="E174" s="141">
        <v>50000</v>
      </c>
      <c r="F174" s="2" t="s">
        <v>53</v>
      </c>
      <c r="G174" s="92"/>
      <c r="H174" s="91"/>
      <c r="I174" s="91"/>
      <c r="J174" s="91"/>
      <c r="K174" s="91"/>
      <c r="L174" s="91"/>
      <c r="M174" s="93"/>
      <c r="N174" s="91"/>
      <c r="O174" s="91"/>
      <c r="P174" s="94"/>
    </row>
    <row r="175" spans="2:16" s="88" customFormat="1" x14ac:dyDescent="0.3">
      <c r="B175" s="90" t="str">
        <f>IF(TRIM(G175)&lt;&gt;"",COUNTA($G$57:G175)&amp;"","")</f>
        <v/>
      </c>
      <c r="C175" s="91"/>
      <c r="D175" s="104"/>
      <c r="E175" s="141">
        <v>55000</v>
      </c>
      <c r="F175" s="25" t="s">
        <v>54</v>
      </c>
      <c r="G175" s="92"/>
      <c r="H175" s="91"/>
      <c r="I175" s="91"/>
      <c r="J175" s="91"/>
      <c r="K175" s="91"/>
      <c r="L175" s="91"/>
      <c r="M175" s="93"/>
      <c r="N175" s="91"/>
      <c r="O175" s="91"/>
      <c r="P175" s="94"/>
    </row>
    <row r="176" spans="2:16" s="88" customFormat="1" ht="15.75" customHeight="1" x14ac:dyDescent="0.3">
      <c r="B176" s="89" t="str">
        <f>IF(TRIM(G176)&lt;&gt;"",COUNTA($G$57:G176)&amp;"","")</f>
        <v>94</v>
      </c>
      <c r="C176" s="138"/>
      <c r="D176" s="138"/>
      <c r="E176" s="138"/>
      <c r="F176" s="87" t="s">
        <v>103</v>
      </c>
      <c r="G176" s="4">
        <v>7</v>
      </c>
      <c r="H176" s="4">
        <v>6.31</v>
      </c>
      <c r="I176" s="4" t="s">
        <v>38</v>
      </c>
      <c r="J176" s="157"/>
      <c r="K176" s="161"/>
      <c r="L176" s="119"/>
      <c r="M176" s="120"/>
      <c r="N176" s="119"/>
      <c r="O176" s="161"/>
      <c r="P176" s="162"/>
    </row>
    <row r="177" spans="2:16" s="88" customFormat="1" ht="15.75" customHeight="1" x14ac:dyDescent="0.3">
      <c r="B177" s="89" t="str">
        <f>IF(TRIM(G177)&lt;&gt;"",COUNTA($G$57:G177)&amp;"","")</f>
        <v>95</v>
      </c>
      <c r="C177" s="138" t="s">
        <v>219</v>
      </c>
      <c r="D177" s="138"/>
      <c r="E177" s="138"/>
      <c r="F177" s="87" t="s">
        <v>104</v>
      </c>
      <c r="G177" s="97">
        <v>1</v>
      </c>
      <c r="H177" s="142">
        <v>1</v>
      </c>
      <c r="I177" s="142" t="s">
        <v>37</v>
      </c>
      <c r="J177" s="157"/>
      <c r="K177" s="161"/>
      <c r="L177" s="119"/>
      <c r="M177" s="120"/>
      <c r="N177" s="119"/>
      <c r="O177" s="161"/>
      <c r="P177" s="162"/>
    </row>
    <row r="178" spans="2:16" s="26" customFormat="1" ht="14.4" thickBot="1" x14ac:dyDescent="0.35">
      <c r="B178" s="89" t="str">
        <f>IF(TRIM(G178)&lt;&gt;"",COUNTA($G$57:G178)&amp;"","")</f>
        <v/>
      </c>
      <c r="C178" s="142"/>
      <c r="D178" s="142"/>
      <c r="E178" s="142"/>
      <c r="F178" s="19" t="s">
        <v>8</v>
      </c>
      <c r="G178" s="38"/>
      <c r="H178" s="27"/>
      <c r="I178" s="27"/>
      <c r="J178" s="40"/>
      <c r="K178" s="40"/>
      <c r="L178" s="21"/>
      <c r="M178" s="71"/>
      <c r="N178" s="40"/>
      <c r="O178" s="21"/>
      <c r="P178" s="53"/>
    </row>
    <row r="179" spans="2:16" s="88" customFormat="1" x14ac:dyDescent="0.3">
      <c r="B179" s="89" t="str">
        <f>IF(TRIM(G179)&lt;&gt;"",COUNTA($G$57:G179)&amp;"","")</f>
        <v/>
      </c>
      <c r="C179" s="142"/>
      <c r="D179" s="142"/>
      <c r="E179" s="142"/>
      <c r="F179" s="109"/>
      <c r="G179" s="32"/>
      <c r="H179" s="4"/>
      <c r="I179" s="4"/>
      <c r="J179" s="6"/>
      <c r="K179" s="6"/>
      <c r="L179" s="96"/>
      <c r="M179" s="113"/>
      <c r="N179" s="6"/>
      <c r="O179" s="96"/>
      <c r="P179" s="114"/>
    </row>
    <row r="180" spans="2:16" s="88" customFormat="1" x14ac:dyDescent="0.3">
      <c r="B180" s="89" t="str">
        <f>IF(TRIM(G180)&lt;&gt;"",COUNTA($G$57:G180)&amp;"","")</f>
        <v/>
      </c>
      <c r="C180" s="142"/>
      <c r="D180" s="142"/>
      <c r="E180" s="142"/>
      <c r="F180" s="109"/>
      <c r="G180" s="32"/>
      <c r="H180" s="4"/>
      <c r="I180" s="4"/>
      <c r="J180" s="6"/>
      <c r="K180" s="6"/>
      <c r="L180" s="96"/>
      <c r="M180" s="113"/>
      <c r="N180" s="6"/>
      <c r="O180" s="96"/>
      <c r="P180" s="114"/>
    </row>
    <row r="181" spans="2:16" s="88" customFormat="1" x14ac:dyDescent="0.3">
      <c r="B181" s="90" t="str">
        <f>IF(TRIM(G181)&lt;&gt;"",COUNTA($G$57:G181)&amp;"","")</f>
        <v/>
      </c>
      <c r="C181" s="91"/>
      <c r="D181" s="91"/>
      <c r="E181" s="141">
        <v>60000</v>
      </c>
      <c r="F181" s="2" t="s">
        <v>55</v>
      </c>
      <c r="G181" s="92"/>
      <c r="H181" s="91"/>
      <c r="I181" s="91"/>
      <c r="J181" s="91"/>
      <c r="K181" s="91"/>
      <c r="L181" s="91"/>
      <c r="M181" s="93"/>
      <c r="N181" s="91"/>
      <c r="O181" s="91"/>
      <c r="P181" s="94"/>
    </row>
    <row r="182" spans="2:16" s="26" customFormat="1" x14ac:dyDescent="0.3">
      <c r="B182" s="90" t="str">
        <f>IF(TRIM(G182)&lt;&gt;"",COUNTA($G$57:G182)&amp;"","")</f>
        <v/>
      </c>
      <c r="C182" s="91"/>
      <c r="D182" s="104"/>
      <c r="E182" s="141">
        <v>61053</v>
      </c>
      <c r="F182" s="25" t="s">
        <v>56</v>
      </c>
      <c r="G182" s="92"/>
      <c r="H182" s="91"/>
      <c r="I182" s="91"/>
      <c r="J182" s="91"/>
      <c r="K182" s="91"/>
      <c r="L182" s="91"/>
      <c r="M182" s="93"/>
      <c r="N182" s="91"/>
      <c r="O182" s="91"/>
      <c r="P182" s="94"/>
    </row>
    <row r="183" spans="2:16" s="88" customFormat="1" x14ac:dyDescent="0.3">
      <c r="B183" s="46" t="str">
        <f>IF(TRIM(G183)&lt;&gt;"",COUNTA($G$57:G183)&amp;"","")</f>
        <v>96</v>
      </c>
      <c r="C183" s="179" t="s">
        <v>220</v>
      </c>
      <c r="D183" s="179"/>
      <c r="E183" s="179"/>
      <c r="F183" s="87" t="s">
        <v>88</v>
      </c>
      <c r="G183" s="4">
        <v>41</v>
      </c>
      <c r="H183" s="4">
        <f>(5*8.166)</f>
        <v>40.83</v>
      </c>
      <c r="I183" s="4" t="s">
        <v>36</v>
      </c>
      <c r="J183" s="164"/>
      <c r="K183" s="161"/>
      <c r="L183" s="161"/>
      <c r="M183" s="158"/>
      <c r="N183" s="165"/>
      <c r="O183" s="161"/>
      <c r="P183" s="162"/>
    </row>
    <row r="184" spans="2:16" s="88" customFormat="1" x14ac:dyDescent="0.3">
      <c r="B184" s="46" t="str">
        <f>IF(TRIM(G184)&lt;&gt;"",COUNTA($G$57:G184)&amp;"","")</f>
        <v>97</v>
      </c>
      <c r="C184" s="179"/>
      <c r="D184" s="179"/>
      <c r="E184" s="179"/>
      <c r="F184" s="87" t="s">
        <v>89</v>
      </c>
      <c r="G184" s="4">
        <v>33</v>
      </c>
      <c r="H184" s="4">
        <f>(4*8.166)</f>
        <v>32.664000000000001</v>
      </c>
      <c r="I184" s="4" t="s">
        <v>36</v>
      </c>
      <c r="J184" s="164"/>
      <c r="K184" s="161"/>
      <c r="L184" s="161"/>
      <c r="M184" s="158"/>
      <c r="N184" s="165"/>
      <c r="O184" s="161"/>
      <c r="P184" s="162"/>
    </row>
    <row r="185" spans="2:16" s="88" customFormat="1" x14ac:dyDescent="0.3">
      <c r="B185" s="46" t="str">
        <f>IF(TRIM(G185)&lt;&gt;"",COUNTA($G$57:G185)&amp;"","")</f>
        <v>98</v>
      </c>
      <c r="C185" s="179"/>
      <c r="D185" s="179"/>
      <c r="E185" s="179"/>
      <c r="F185" s="87" t="s">
        <v>90</v>
      </c>
      <c r="G185" s="4">
        <v>4</v>
      </c>
      <c r="H185" s="4">
        <f>(2*2)</f>
        <v>4</v>
      </c>
      <c r="I185" s="4" t="s">
        <v>36</v>
      </c>
      <c r="J185" s="157"/>
      <c r="K185" s="161"/>
      <c r="L185" s="119"/>
      <c r="M185" s="120"/>
      <c r="N185" s="119"/>
      <c r="O185" s="161"/>
      <c r="P185" s="162"/>
    </row>
    <row r="186" spans="2:16" s="88" customFormat="1" x14ac:dyDescent="0.3">
      <c r="B186" s="46" t="str">
        <f>IF(TRIM(G186)&lt;&gt;"",COUNTA($G$57:G186)&amp;"","")</f>
        <v>99</v>
      </c>
      <c r="C186" s="179"/>
      <c r="D186" s="179"/>
      <c r="E186" s="179"/>
      <c r="F186" s="87" t="s">
        <v>92</v>
      </c>
      <c r="G186" s="4">
        <v>50</v>
      </c>
      <c r="H186" s="4">
        <v>47.62</v>
      </c>
      <c r="I186" s="4" t="s">
        <v>36</v>
      </c>
      <c r="J186" s="157"/>
      <c r="K186" s="161"/>
      <c r="L186" s="119"/>
      <c r="M186" s="120"/>
      <c r="N186" s="119"/>
      <c r="O186" s="161"/>
      <c r="P186" s="162"/>
    </row>
    <row r="187" spans="2:16" s="88" customFormat="1" x14ac:dyDescent="0.3">
      <c r="B187" s="46" t="str">
        <f>IF(TRIM(G187)&lt;&gt;"",COUNTA($G$57:G187)&amp;"","")</f>
        <v>100</v>
      </c>
      <c r="C187" s="179"/>
      <c r="D187" s="179"/>
      <c r="E187" s="179"/>
      <c r="F187" s="87" t="s">
        <v>94</v>
      </c>
      <c r="G187" s="4">
        <v>40</v>
      </c>
      <c r="H187" s="4">
        <v>37.14</v>
      </c>
      <c r="I187" s="4" t="s">
        <v>36</v>
      </c>
      <c r="J187" s="157"/>
      <c r="K187" s="161"/>
      <c r="L187" s="119"/>
      <c r="M187" s="120"/>
      <c r="N187" s="119"/>
      <c r="O187" s="161"/>
      <c r="P187" s="162"/>
    </row>
    <row r="188" spans="2:16" s="88" customFormat="1" x14ac:dyDescent="0.3">
      <c r="B188" s="46" t="str">
        <f>IF(TRIM(G188)&lt;&gt;"",COUNTA($G$57:G188)&amp;"","")</f>
        <v>101</v>
      </c>
      <c r="C188" s="179"/>
      <c r="D188" s="179"/>
      <c r="E188" s="179"/>
      <c r="F188" s="87" t="s">
        <v>95</v>
      </c>
      <c r="G188" s="4">
        <v>100</v>
      </c>
      <c r="H188" s="4">
        <f>(2*49.17)</f>
        <v>98.34</v>
      </c>
      <c r="I188" s="4" t="s">
        <v>36</v>
      </c>
      <c r="J188" s="157"/>
      <c r="K188" s="161"/>
      <c r="L188" s="119"/>
      <c r="M188" s="120"/>
      <c r="N188" s="119"/>
      <c r="O188" s="161"/>
      <c r="P188" s="162"/>
    </row>
    <row r="189" spans="2:16" s="88" customFormat="1" x14ac:dyDescent="0.3">
      <c r="B189" s="46" t="str">
        <f>IF(TRIM(G189)&lt;&gt;"",COUNTA($G$57:G189)&amp;"","")</f>
        <v>102</v>
      </c>
      <c r="C189" s="179"/>
      <c r="D189" s="179"/>
      <c r="E189" s="179"/>
      <c r="F189" s="87" t="s">
        <v>96</v>
      </c>
      <c r="G189" s="4">
        <v>100</v>
      </c>
      <c r="H189" s="4">
        <f>(2*49.17)</f>
        <v>98.34</v>
      </c>
      <c r="I189" s="4" t="s">
        <v>36</v>
      </c>
      <c r="J189" s="157"/>
      <c r="K189" s="161"/>
      <c r="L189" s="119"/>
      <c r="M189" s="120"/>
      <c r="N189" s="119"/>
      <c r="O189" s="161"/>
      <c r="P189" s="162"/>
    </row>
    <row r="190" spans="2:16" s="88" customFormat="1" x14ac:dyDescent="0.3">
      <c r="B190" s="46" t="str">
        <f>IF(TRIM(G190)&lt;&gt;"",COUNTA($G$57:G190)&amp;"","")</f>
        <v>103</v>
      </c>
      <c r="C190" s="179"/>
      <c r="D190" s="179"/>
      <c r="E190" s="179"/>
      <c r="F190" s="87" t="s">
        <v>102</v>
      </c>
      <c r="G190" s="4">
        <v>50</v>
      </c>
      <c r="H190" s="4">
        <f>(2*24.04)</f>
        <v>48.08</v>
      </c>
      <c r="I190" s="4" t="s">
        <v>36</v>
      </c>
      <c r="J190" s="157"/>
      <c r="K190" s="161"/>
      <c r="L190" s="119"/>
      <c r="M190" s="120"/>
      <c r="N190" s="119"/>
      <c r="O190" s="161"/>
      <c r="P190" s="162"/>
    </row>
    <row r="191" spans="2:16" s="88" customFormat="1" x14ac:dyDescent="0.3">
      <c r="B191" s="46" t="str">
        <f>IF(TRIM(G191)&lt;&gt;"",COUNTA($G$57:G191)&amp;"","")</f>
        <v>104</v>
      </c>
      <c r="C191" s="179"/>
      <c r="D191" s="179"/>
      <c r="E191" s="179"/>
      <c r="F191" s="87" t="s">
        <v>97</v>
      </c>
      <c r="G191" s="4">
        <v>10</v>
      </c>
      <c r="H191" s="4">
        <v>7.19</v>
      </c>
      <c r="I191" s="4" t="s">
        <v>36</v>
      </c>
      <c r="J191" s="164"/>
      <c r="K191" s="161"/>
      <c r="L191" s="161"/>
      <c r="M191" s="158"/>
      <c r="N191" s="119"/>
      <c r="O191" s="161"/>
      <c r="P191" s="162"/>
    </row>
    <row r="192" spans="2:16" s="88" customFormat="1" x14ac:dyDescent="0.3">
      <c r="B192" s="46" t="str">
        <f>IF(TRIM(G192)&lt;&gt;"",COUNTA($G$57:G192)&amp;"","")</f>
        <v>105</v>
      </c>
      <c r="C192" s="179"/>
      <c r="D192" s="179"/>
      <c r="E192" s="179"/>
      <c r="F192" s="87" t="s">
        <v>98</v>
      </c>
      <c r="G192" s="4">
        <v>25</v>
      </c>
      <c r="H192" s="4">
        <v>22.83</v>
      </c>
      <c r="I192" s="4" t="s">
        <v>36</v>
      </c>
      <c r="J192" s="164"/>
      <c r="K192" s="161"/>
      <c r="L192" s="161"/>
      <c r="M192" s="158"/>
      <c r="N192" s="119"/>
      <c r="O192" s="161"/>
      <c r="P192" s="162"/>
    </row>
    <row r="193" spans="2:16" s="88" customFormat="1" x14ac:dyDescent="0.3">
      <c r="B193" s="46" t="str">
        <f>IF(TRIM(G193)&lt;&gt;"",COUNTA($G$57:G193)&amp;"","")</f>
        <v>106</v>
      </c>
      <c r="C193" s="179"/>
      <c r="D193" s="179"/>
      <c r="E193" s="179"/>
      <c r="F193" s="87" t="s">
        <v>99</v>
      </c>
      <c r="G193" s="4">
        <v>35</v>
      </c>
      <c r="H193" s="4">
        <v>33.130000000000003</v>
      </c>
      <c r="I193" s="4" t="s">
        <v>36</v>
      </c>
      <c r="J193" s="164"/>
      <c r="K193" s="161"/>
      <c r="L193" s="161"/>
      <c r="M193" s="158"/>
      <c r="N193" s="119"/>
      <c r="O193" s="161"/>
      <c r="P193" s="162"/>
    </row>
    <row r="194" spans="2:16" s="88" customFormat="1" x14ac:dyDescent="0.3">
      <c r="B194" s="46" t="str">
        <f>IF(TRIM(G194)&lt;&gt;"",COUNTA($G$57:G194)&amp;"","")</f>
        <v>107</v>
      </c>
      <c r="C194" s="179"/>
      <c r="D194" s="179"/>
      <c r="E194" s="179"/>
      <c r="F194" s="87" t="s">
        <v>100</v>
      </c>
      <c r="G194" s="4">
        <v>20</v>
      </c>
      <c r="H194" s="4">
        <v>16.28</v>
      </c>
      <c r="I194" s="4" t="s">
        <v>36</v>
      </c>
      <c r="J194" s="164"/>
      <c r="K194" s="161"/>
      <c r="L194" s="161"/>
      <c r="M194" s="158"/>
      <c r="N194" s="119"/>
      <c r="O194" s="161"/>
      <c r="P194" s="162"/>
    </row>
    <row r="195" spans="2:16" s="88" customFormat="1" x14ac:dyDescent="0.3">
      <c r="B195" s="46" t="str">
        <f>IF(TRIM(G195)&lt;&gt;"",COUNTA($G$57:G195)&amp;"","")</f>
        <v>108</v>
      </c>
      <c r="C195" s="179"/>
      <c r="D195" s="179"/>
      <c r="E195" s="179"/>
      <c r="F195" s="87" t="s">
        <v>101</v>
      </c>
      <c r="G195" s="4">
        <v>35</v>
      </c>
      <c r="H195" s="4">
        <v>32.58</v>
      </c>
      <c r="I195" s="4" t="s">
        <v>36</v>
      </c>
      <c r="J195" s="164"/>
      <c r="K195" s="161"/>
      <c r="L195" s="161"/>
      <c r="M195" s="158"/>
      <c r="N195" s="119"/>
      <c r="O195" s="161"/>
      <c r="P195" s="162"/>
    </row>
    <row r="196" spans="2:16" s="88" customFormat="1" x14ac:dyDescent="0.3">
      <c r="B196" s="46" t="str">
        <f>IF(TRIM(G196)&lt;&gt;"",COUNTA($G$57:G196)&amp;"","")</f>
        <v>109</v>
      </c>
      <c r="C196" s="179"/>
      <c r="D196" s="179"/>
      <c r="E196" s="179"/>
      <c r="F196" s="87" t="s">
        <v>86</v>
      </c>
      <c r="G196" s="4">
        <v>170</v>
      </c>
      <c r="H196" s="4">
        <v>169.54</v>
      </c>
      <c r="I196" s="4" t="s">
        <v>36</v>
      </c>
      <c r="J196" s="157"/>
      <c r="K196" s="161"/>
      <c r="L196" s="119"/>
      <c r="M196" s="120"/>
      <c r="N196" s="119"/>
      <c r="O196" s="161"/>
      <c r="P196" s="162"/>
    </row>
    <row r="197" spans="2:16" s="88" customFormat="1" x14ac:dyDescent="0.3">
      <c r="B197" s="46" t="str">
        <f>IF(TRIM(G197)&lt;&gt;"",COUNTA($G$57:G197)&amp;"","")</f>
        <v>110</v>
      </c>
      <c r="C197" s="179"/>
      <c r="D197" s="179"/>
      <c r="E197" s="179"/>
      <c r="F197" s="87" t="s">
        <v>87</v>
      </c>
      <c r="G197" s="4">
        <v>165</v>
      </c>
      <c r="H197" s="4">
        <v>164.33</v>
      </c>
      <c r="I197" s="4" t="s">
        <v>36</v>
      </c>
      <c r="J197" s="157"/>
      <c r="K197" s="161"/>
      <c r="L197" s="119"/>
      <c r="M197" s="120"/>
      <c r="N197" s="119"/>
      <c r="O197" s="161"/>
      <c r="P197" s="162"/>
    </row>
    <row r="198" spans="2:16" s="88" customFormat="1" x14ac:dyDescent="0.3">
      <c r="B198" s="46" t="str">
        <f>IF(TRIM(G198)&lt;&gt;"",COUNTA($G$57:G198)&amp;"","")</f>
        <v>111</v>
      </c>
      <c r="C198" s="179"/>
      <c r="D198" s="179"/>
      <c r="E198" s="179"/>
      <c r="F198" s="87" t="s">
        <v>93</v>
      </c>
      <c r="G198" s="4">
        <v>50</v>
      </c>
      <c r="H198" s="4">
        <v>48.5</v>
      </c>
      <c r="I198" s="4" t="s">
        <v>36</v>
      </c>
      <c r="J198" s="157"/>
      <c r="K198" s="161"/>
      <c r="L198" s="119"/>
      <c r="M198" s="120"/>
      <c r="N198" s="119"/>
      <c r="O198" s="161"/>
      <c r="P198" s="162"/>
    </row>
    <row r="199" spans="2:16" s="88" customFormat="1" x14ac:dyDescent="0.3">
      <c r="B199" s="46" t="str">
        <f>IF(TRIM(G199)&lt;&gt;"",COUNTA($G$57:G199)&amp;"","")</f>
        <v>112</v>
      </c>
      <c r="C199" s="179"/>
      <c r="D199" s="179"/>
      <c r="E199" s="179"/>
      <c r="F199" s="87" t="s">
        <v>91</v>
      </c>
      <c r="G199" s="4">
        <v>25</v>
      </c>
      <c r="H199" s="4">
        <f>47.62/2+1</f>
        <v>24.81</v>
      </c>
      <c r="I199" s="4" t="s">
        <v>37</v>
      </c>
      <c r="J199" s="157"/>
      <c r="K199" s="161"/>
      <c r="L199" s="119"/>
      <c r="M199" s="120"/>
      <c r="N199" s="119"/>
      <c r="O199" s="161"/>
      <c r="P199" s="162"/>
    </row>
    <row r="200" spans="2:16" s="88" customFormat="1" x14ac:dyDescent="0.3">
      <c r="B200" s="46" t="str">
        <f>IF(TRIM(G200)&lt;&gt;"",COUNTA($G$57:G200)&amp;"","")</f>
        <v>113</v>
      </c>
      <c r="C200" s="179"/>
      <c r="D200" s="179"/>
      <c r="E200" s="179"/>
      <c r="F200" s="87" t="s">
        <v>82</v>
      </c>
      <c r="G200" s="4">
        <v>4</v>
      </c>
      <c r="H200" s="4">
        <v>4</v>
      </c>
      <c r="I200" s="4" t="s">
        <v>37</v>
      </c>
      <c r="J200" s="157"/>
      <c r="K200" s="161"/>
      <c r="L200" s="119"/>
      <c r="M200" s="120"/>
      <c r="N200" s="119"/>
      <c r="O200" s="161"/>
      <c r="P200" s="162"/>
    </row>
    <row r="201" spans="2:16" s="88" customFormat="1" x14ac:dyDescent="0.3">
      <c r="B201" s="46" t="str">
        <f>IF(TRIM(G201)&lt;&gt;"",COUNTA($G$57:G201)&amp;"","")</f>
        <v>114</v>
      </c>
      <c r="C201" s="179"/>
      <c r="D201" s="179"/>
      <c r="E201" s="179"/>
      <c r="F201" s="87" t="s">
        <v>83</v>
      </c>
      <c r="G201" s="4">
        <v>23</v>
      </c>
      <c r="H201" s="4">
        <v>23</v>
      </c>
      <c r="I201" s="4" t="s">
        <v>37</v>
      </c>
      <c r="J201" s="157"/>
      <c r="K201" s="161"/>
      <c r="L201" s="119"/>
      <c r="M201" s="120"/>
      <c r="N201" s="119"/>
      <c r="O201" s="161"/>
      <c r="P201" s="162"/>
    </row>
    <row r="202" spans="2:16" s="88" customFormat="1" x14ac:dyDescent="0.3">
      <c r="B202" s="46" t="str">
        <f>IF(TRIM(G202)&lt;&gt;"",COUNTA($G$57:G202)&amp;"","")</f>
        <v>115</v>
      </c>
      <c r="C202" s="179"/>
      <c r="D202" s="179"/>
      <c r="E202" s="179"/>
      <c r="F202" s="87" t="s">
        <v>84</v>
      </c>
      <c r="G202" s="4">
        <v>25</v>
      </c>
      <c r="H202" s="4">
        <v>25</v>
      </c>
      <c r="I202" s="4" t="s">
        <v>37</v>
      </c>
      <c r="J202" s="157"/>
      <c r="K202" s="161"/>
      <c r="L202" s="119"/>
      <c r="M202" s="120"/>
      <c r="N202" s="119"/>
      <c r="O202" s="161"/>
      <c r="P202" s="162"/>
    </row>
    <row r="203" spans="2:16" s="88" customFormat="1" x14ac:dyDescent="0.3">
      <c r="B203" s="46" t="str">
        <f>IF(TRIM(G203)&lt;&gt;"",COUNTA($G$57:G203)&amp;"","")</f>
        <v>116</v>
      </c>
      <c r="C203" s="179"/>
      <c r="D203" s="179"/>
      <c r="E203" s="179"/>
      <c r="F203" s="87" t="s">
        <v>85</v>
      </c>
      <c r="G203" s="4">
        <v>50</v>
      </c>
      <c r="H203" s="4">
        <v>50</v>
      </c>
      <c r="I203" s="4" t="s">
        <v>37</v>
      </c>
      <c r="J203" s="157"/>
      <c r="K203" s="161"/>
      <c r="L203" s="119"/>
      <c r="M203" s="120"/>
      <c r="N203" s="119"/>
      <c r="O203" s="161"/>
      <c r="P203" s="162"/>
    </row>
    <row r="204" spans="2:16" s="88" customFormat="1" x14ac:dyDescent="0.3">
      <c r="B204" s="90" t="str">
        <f>IF(TRIM(G204)&lt;&gt;"",COUNTA($G$57:G204)&amp;"","")</f>
        <v/>
      </c>
      <c r="C204" s="91"/>
      <c r="D204" s="104"/>
      <c r="E204" s="141">
        <v>61000</v>
      </c>
      <c r="F204" s="25" t="s">
        <v>58</v>
      </c>
      <c r="G204" s="92"/>
      <c r="H204" s="91"/>
      <c r="I204" s="91"/>
      <c r="J204" s="91"/>
      <c r="K204" s="91"/>
      <c r="L204" s="91"/>
      <c r="M204" s="93"/>
      <c r="N204" s="91"/>
      <c r="O204" s="91"/>
      <c r="P204" s="94"/>
    </row>
    <row r="205" spans="2:16" s="88" customFormat="1" ht="27.6" x14ac:dyDescent="0.3">
      <c r="B205" s="89" t="str">
        <f>IF(TRIM(G205)&lt;&gt;"",COUNTA($G$57:G205)&amp;"","")</f>
        <v>117</v>
      </c>
      <c r="C205" s="142" t="s">
        <v>220</v>
      </c>
      <c r="D205" s="142"/>
      <c r="E205" s="142"/>
      <c r="F205" s="106" t="s">
        <v>59</v>
      </c>
      <c r="G205" s="32">
        <v>225</v>
      </c>
      <c r="H205" s="4">
        <v>223.84</v>
      </c>
      <c r="I205" s="4" t="s">
        <v>38</v>
      </c>
      <c r="J205" s="157"/>
      <c r="K205" s="161"/>
      <c r="L205" s="119"/>
      <c r="M205" s="120"/>
      <c r="N205" s="119"/>
      <c r="O205" s="161"/>
      <c r="P205" s="162"/>
    </row>
    <row r="206" spans="2:16" s="88" customFormat="1" x14ac:dyDescent="0.3">
      <c r="B206" s="90" t="str">
        <f>IF(TRIM(G206)&lt;&gt;"",COUNTA($G$57:G206)&amp;"","")</f>
        <v/>
      </c>
      <c r="C206" s="91"/>
      <c r="D206" s="104"/>
      <c r="E206" s="145">
        <v>64100</v>
      </c>
      <c r="F206" s="25" t="s">
        <v>60</v>
      </c>
      <c r="G206" s="92"/>
      <c r="H206" s="91"/>
      <c r="I206" s="91"/>
      <c r="J206" s="91"/>
      <c r="K206" s="91"/>
      <c r="L206" s="91"/>
      <c r="M206" s="93"/>
      <c r="N206" s="91"/>
      <c r="O206" s="91"/>
      <c r="P206" s="94"/>
    </row>
    <row r="207" spans="2:16" s="88" customFormat="1" x14ac:dyDescent="0.3">
      <c r="B207" s="46" t="str">
        <f>IF(TRIM(G207)&lt;&gt;"",COUNTA($G$57:G207)&amp;"","")</f>
        <v>118</v>
      </c>
      <c r="C207" s="178" t="s">
        <v>125</v>
      </c>
      <c r="D207" s="178"/>
      <c r="E207" s="178"/>
      <c r="F207" s="106" t="s">
        <v>165</v>
      </c>
      <c r="G207" s="32">
        <v>1</v>
      </c>
      <c r="H207" s="4">
        <v>1</v>
      </c>
      <c r="I207" s="4" t="s">
        <v>37</v>
      </c>
      <c r="J207" s="157"/>
      <c r="K207" s="161"/>
      <c r="L207" s="119"/>
      <c r="M207" s="119"/>
      <c r="N207" s="119"/>
      <c r="O207" s="161"/>
      <c r="P207" s="162"/>
    </row>
    <row r="208" spans="2:16" s="88" customFormat="1" x14ac:dyDescent="0.3">
      <c r="B208" s="46" t="str">
        <f>IF(TRIM(G208)&lt;&gt;"",COUNTA($G$57:G208)&amp;"","")</f>
        <v>119</v>
      </c>
      <c r="C208" s="179"/>
      <c r="D208" s="179"/>
      <c r="E208" s="179"/>
      <c r="F208" s="106" t="s">
        <v>166</v>
      </c>
      <c r="G208" s="32">
        <v>1</v>
      </c>
      <c r="H208" s="4">
        <v>1</v>
      </c>
      <c r="I208" s="4" t="s">
        <v>37</v>
      </c>
      <c r="J208" s="157"/>
      <c r="K208" s="161"/>
      <c r="L208" s="119"/>
      <c r="M208" s="119"/>
      <c r="N208" s="119"/>
      <c r="O208" s="161"/>
      <c r="P208" s="162"/>
    </row>
    <row r="209" spans="2:16" s="88" customFormat="1" x14ac:dyDescent="0.3">
      <c r="B209" s="46" t="str">
        <f>IF(TRIM(G209)&lt;&gt;"",COUNTA($G$57:G209)&amp;"","")</f>
        <v>120</v>
      </c>
      <c r="C209" s="179"/>
      <c r="D209" s="179"/>
      <c r="E209" s="179"/>
      <c r="F209" s="106" t="s">
        <v>167</v>
      </c>
      <c r="G209" s="32">
        <v>1</v>
      </c>
      <c r="H209" s="4">
        <v>1</v>
      </c>
      <c r="I209" s="4" t="s">
        <v>37</v>
      </c>
      <c r="J209" s="157"/>
      <c r="K209" s="161"/>
      <c r="L209" s="119"/>
      <c r="M209" s="119"/>
      <c r="N209" s="119"/>
      <c r="O209" s="161"/>
      <c r="P209" s="162"/>
    </row>
    <row r="210" spans="2:16" s="88" customFormat="1" x14ac:dyDescent="0.3">
      <c r="B210" s="46" t="str">
        <f>IF(TRIM(G210)&lt;&gt;"",COUNTA($G$57:G210)&amp;"","")</f>
        <v>121</v>
      </c>
      <c r="C210" s="179"/>
      <c r="D210" s="179"/>
      <c r="E210" s="179"/>
      <c r="F210" s="106" t="s">
        <v>168</v>
      </c>
      <c r="G210" s="32">
        <v>1</v>
      </c>
      <c r="H210" s="4">
        <v>1</v>
      </c>
      <c r="I210" s="4" t="s">
        <v>37</v>
      </c>
      <c r="J210" s="157"/>
      <c r="K210" s="161"/>
      <c r="L210" s="119"/>
      <c r="M210" s="119"/>
      <c r="N210" s="119"/>
      <c r="O210" s="161"/>
      <c r="P210" s="162"/>
    </row>
    <row r="211" spans="2:16" s="88" customFormat="1" x14ac:dyDescent="0.3">
      <c r="B211" s="46" t="str">
        <f>IF(TRIM(G211)&lt;&gt;"",COUNTA($G$57:G211)&amp;"","")</f>
        <v>122</v>
      </c>
      <c r="C211" s="179"/>
      <c r="D211" s="179"/>
      <c r="E211" s="179"/>
      <c r="F211" s="106" t="s">
        <v>169</v>
      </c>
      <c r="G211" s="32">
        <v>1</v>
      </c>
      <c r="H211" s="4">
        <v>1</v>
      </c>
      <c r="I211" s="4" t="s">
        <v>37</v>
      </c>
      <c r="J211" s="157"/>
      <c r="K211" s="161"/>
      <c r="L211" s="119"/>
      <c r="M211" s="119"/>
      <c r="N211" s="119"/>
      <c r="O211" s="161"/>
      <c r="P211" s="162"/>
    </row>
    <row r="212" spans="2:16" s="88" customFormat="1" x14ac:dyDescent="0.3">
      <c r="B212" s="46" t="str">
        <f>IF(TRIM(G212)&lt;&gt;"",COUNTA($G$57:G212)&amp;"","")</f>
        <v>123</v>
      </c>
      <c r="C212" s="179"/>
      <c r="D212" s="179"/>
      <c r="E212" s="179"/>
      <c r="F212" s="106" t="s">
        <v>170</v>
      </c>
      <c r="G212" s="32">
        <v>1</v>
      </c>
      <c r="H212" s="4">
        <v>1</v>
      </c>
      <c r="I212" s="4" t="s">
        <v>37</v>
      </c>
      <c r="J212" s="157"/>
      <c r="K212" s="161"/>
      <c r="L212" s="119"/>
      <c r="M212" s="119"/>
      <c r="N212" s="119"/>
      <c r="O212" s="161"/>
      <c r="P212" s="162"/>
    </row>
    <row r="213" spans="2:16" s="88" customFormat="1" x14ac:dyDescent="0.3">
      <c r="B213" s="46" t="str">
        <f>IF(TRIM(G213)&lt;&gt;"",COUNTA($G$57:G213)&amp;"","")</f>
        <v>124</v>
      </c>
      <c r="C213" s="179"/>
      <c r="D213" s="179"/>
      <c r="E213" s="179"/>
      <c r="F213" s="106" t="s">
        <v>171</v>
      </c>
      <c r="G213" s="32">
        <v>5</v>
      </c>
      <c r="H213" s="4">
        <v>4.72</v>
      </c>
      <c r="I213" s="4" t="s">
        <v>36</v>
      </c>
      <c r="J213" s="157"/>
      <c r="K213" s="161"/>
      <c r="L213" s="119"/>
      <c r="M213" s="158"/>
      <c r="N213" s="119"/>
      <c r="O213" s="161"/>
      <c r="P213" s="162"/>
    </row>
    <row r="214" spans="2:16" s="88" customFormat="1" x14ac:dyDescent="0.3">
      <c r="B214" s="46" t="str">
        <f>IF(TRIM(G214)&lt;&gt;"",COUNTA($G$57:G214)&amp;"","")</f>
        <v>125</v>
      </c>
      <c r="C214" s="180"/>
      <c r="D214" s="180"/>
      <c r="E214" s="180"/>
      <c r="F214" s="106" t="s">
        <v>172</v>
      </c>
      <c r="G214" s="32">
        <v>22</v>
      </c>
      <c r="H214" s="4">
        <v>20.77</v>
      </c>
      <c r="I214" s="4" t="s">
        <v>36</v>
      </c>
      <c r="J214" s="157"/>
      <c r="K214" s="161"/>
      <c r="L214" s="119"/>
      <c r="M214" s="158"/>
      <c r="N214" s="119"/>
      <c r="O214" s="161"/>
      <c r="P214" s="162"/>
    </row>
    <row r="215" spans="2:16" s="26" customFormat="1" ht="14.4" thickBot="1" x14ac:dyDescent="0.35">
      <c r="B215" s="89" t="str">
        <f>IF(TRIM(G215)&lt;&gt;"",COUNTA($G$57:G215)&amp;"","")</f>
        <v/>
      </c>
      <c r="C215" s="142"/>
      <c r="D215" s="142"/>
      <c r="E215" s="142"/>
      <c r="F215" s="19" t="s">
        <v>8</v>
      </c>
      <c r="G215" s="38"/>
      <c r="H215" s="27"/>
      <c r="I215" s="27"/>
      <c r="J215" s="40"/>
      <c r="K215" s="40"/>
      <c r="L215" s="21"/>
      <c r="M215" s="71"/>
      <c r="N215" s="40"/>
      <c r="O215" s="21"/>
      <c r="P215" s="53"/>
    </row>
    <row r="216" spans="2:16" s="88" customFormat="1" x14ac:dyDescent="0.3">
      <c r="B216" s="89" t="str">
        <f>IF(TRIM(G216)&lt;&gt;"",COUNTA($G$57:G216)&amp;"","")</f>
        <v/>
      </c>
      <c r="C216" s="142"/>
      <c r="D216" s="142"/>
      <c r="E216" s="142"/>
      <c r="F216" s="87"/>
      <c r="G216" s="125"/>
      <c r="H216" s="126"/>
      <c r="I216" s="126"/>
      <c r="J216" s="127"/>
      <c r="K216" s="127"/>
      <c r="L216" s="110"/>
      <c r="M216" s="111"/>
      <c r="N216" s="127"/>
      <c r="O216" s="110"/>
      <c r="P216" s="112"/>
    </row>
    <row r="217" spans="2:16" s="88" customFormat="1" x14ac:dyDescent="0.3">
      <c r="B217" s="89" t="str">
        <f>IF(TRIM(G217)&lt;&gt;"",COUNTA($G$57:G217)&amp;"","")</f>
        <v/>
      </c>
      <c r="C217" s="142"/>
      <c r="D217" s="142"/>
      <c r="E217" s="142"/>
      <c r="F217" s="87"/>
      <c r="G217" s="32"/>
      <c r="H217" s="4"/>
      <c r="I217" s="4"/>
      <c r="J217" s="6"/>
      <c r="K217" s="6"/>
      <c r="L217" s="96"/>
      <c r="M217" s="113"/>
      <c r="N217" s="6"/>
      <c r="O217" s="96"/>
      <c r="P217" s="114"/>
    </row>
    <row r="218" spans="2:16" s="88" customFormat="1" ht="27.6" x14ac:dyDescent="0.3">
      <c r="B218" s="90" t="str">
        <f>IF(TRIM(G218)&lt;&gt;"",COUNTA($G$57:G218)&amp;"","")</f>
        <v/>
      </c>
      <c r="C218" s="91"/>
      <c r="D218" s="91"/>
      <c r="E218" s="141">
        <v>70000</v>
      </c>
      <c r="F218" s="2" t="s">
        <v>61</v>
      </c>
      <c r="G218" s="92"/>
      <c r="H218" s="91"/>
      <c r="I218" s="91"/>
      <c r="J218" s="91"/>
      <c r="K218" s="91"/>
      <c r="L218" s="91"/>
      <c r="M218" s="93"/>
      <c r="N218" s="91"/>
      <c r="O218" s="91"/>
      <c r="P218" s="94"/>
    </row>
    <row r="219" spans="2:16" s="88" customFormat="1" x14ac:dyDescent="0.3">
      <c r="B219" s="89" t="str">
        <f>IF(TRIM(G219)&lt;&gt;"",COUNTA($G$57:G219)&amp;"","")</f>
        <v/>
      </c>
      <c r="C219" s="178" t="s">
        <v>125</v>
      </c>
      <c r="D219" s="178"/>
      <c r="E219" s="178"/>
      <c r="F219" s="28" t="s">
        <v>211</v>
      </c>
      <c r="G219" s="149"/>
      <c r="H219" s="5"/>
      <c r="I219" s="5"/>
      <c r="J219" s="6"/>
      <c r="K219" s="6"/>
      <c r="L219" s="96"/>
      <c r="M219" s="70"/>
      <c r="N219" s="6"/>
      <c r="O219" s="96"/>
      <c r="P219" s="52"/>
    </row>
    <row r="220" spans="2:16" s="88" customFormat="1" x14ac:dyDescent="0.3">
      <c r="B220" s="89" t="str">
        <f>IF(TRIM(G220)&lt;&gt;"",COUNTA($G$57:G220)&amp;"","")</f>
        <v>126</v>
      </c>
      <c r="C220" s="179"/>
      <c r="D220" s="179"/>
      <c r="E220" s="179"/>
      <c r="F220" s="106" t="s">
        <v>212</v>
      </c>
      <c r="G220" s="32">
        <v>225</v>
      </c>
      <c r="H220" s="4">
        <v>223.84</v>
      </c>
      <c r="I220" s="4" t="s">
        <v>38</v>
      </c>
      <c r="J220" s="157"/>
      <c r="K220" s="119"/>
      <c r="L220" s="119"/>
      <c r="M220" s="158"/>
      <c r="N220" s="119"/>
      <c r="O220" s="161"/>
      <c r="P220" s="162"/>
    </row>
    <row r="221" spans="2:16" s="88" customFormat="1" x14ac:dyDescent="0.3">
      <c r="B221" s="89" t="str">
        <f>IF(TRIM(G221)&lt;&gt;"",COUNTA($G$57:G221)&amp;"","")</f>
        <v>127</v>
      </c>
      <c r="C221" s="180"/>
      <c r="D221" s="180"/>
      <c r="E221" s="180"/>
      <c r="F221" s="106" t="s">
        <v>213</v>
      </c>
      <c r="G221" s="32">
        <v>230</v>
      </c>
      <c r="H221" s="4">
        <v>229.5</v>
      </c>
      <c r="I221" s="4" t="s">
        <v>38</v>
      </c>
      <c r="J221" s="157"/>
      <c r="K221" s="119"/>
      <c r="L221" s="119"/>
      <c r="M221" s="158"/>
      <c r="N221" s="119"/>
      <c r="O221" s="161"/>
      <c r="P221" s="162"/>
    </row>
    <row r="222" spans="2:16" s="88" customFormat="1" x14ac:dyDescent="0.3">
      <c r="B222" s="99"/>
      <c r="C222" s="178" t="s">
        <v>125</v>
      </c>
      <c r="D222" s="178"/>
      <c r="E222" s="178"/>
      <c r="F222" s="106" t="s">
        <v>221</v>
      </c>
      <c r="G222" s="149">
        <v>170</v>
      </c>
      <c r="H222" s="5">
        <f>(55.41*3)</f>
        <v>166.23</v>
      </c>
      <c r="I222" s="4" t="s">
        <v>38</v>
      </c>
      <c r="J222" s="157"/>
      <c r="K222" s="119"/>
      <c r="L222" s="119"/>
      <c r="M222" s="158"/>
      <c r="N222" s="119"/>
      <c r="O222" s="161"/>
      <c r="P222" s="162"/>
    </row>
    <row r="223" spans="2:16" s="88" customFormat="1" x14ac:dyDescent="0.3">
      <c r="B223" s="99" t="str">
        <f>IF(TRIM(G223)&lt;&gt;"",COUNTA($G$57:G223)&amp;"","")</f>
        <v>129</v>
      </c>
      <c r="C223" s="180"/>
      <c r="D223" s="180"/>
      <c r="E223" s="180"/>
      <c r="F223" s="87" t="s">
        <v>105</v>
      </c>
      <c r="G223" s="149">
        <v>10</v>
      </c>
      <c r="H223" s="5">
        <v>8.3800000000000008</v>
      </c>
      <c r="I223" s="5" t="s">
        <v>36</v>
      </c>
      <c r="J223" s="157"/>
      <c r="K223" s="119"/>
      <c r="L223" s="119"/>
      <c r="M223" s="158"/>
      <c r="N223" s="119"/>
      <c r="O223" s="161"/>
      <c r="P223" s="162"/>
    </row>
    <row r="224" spans="2:16" s="88" customFormat="1" ht="14.4" thickBot="1" x14ac:dyDescent="0.35">
      <c r="B224" s="89" t="str">
        <f>IF(TRIM(G224)&lt;&gt;"",COUNTA($G$57:G224)&amp;"","")</f>
        <v/>
      </c>
      <c r="C224" s="142"/>
      <c r="D224" s="142"/>
      <c r="E224" s="142"/>
      <c r="F224" s="19" t="s">
        <v>8</v>
      </c>
      <c r="G224" s="38"/>
      <c r="H224" s="27"/>
      <c r="I224" s="27"/>
      <c r="J224" s="40"/>
      <c r="K224" s="40"/>
      <c r="L224" s="21"/>
      <c r="M224" s="71"/>
      <c r="N224" s="40"/>
      <c r="O224" s="21"/>
      <c r="P224" s="53"/>
    </row>
    <row r="225" spans="2:16" s="88" customFormat="1" x14ac:dyDescent="0.3">
      <c r="B225" s="89" t="str">
        <f>IF(TRIM(G225)&lt;&gt;"",COUNTA($G$57:G225)&amp;"","")</f>
        <v/>
      </c>
      <c r="C225" s="142"/>
      <c r="D225" s="142"/>
      <c r="E225" s="142"/>
      <c r="F225" s="87"/>
      <c r="G225" s="125"/>
      <c r="H225" s="126"/>
      <c r="I225" s="126"/>
      <c r="J225" s="127"/>
      <c r="K225" s="127"/>
      <c r="L225" s="110"/>
      <c r="M225" s="111"/>
      <c r="N225" s="127"/>
      <c r="O225" s="110"/>
      <c r="P225" s="112"/>
    </row>
    <row r="226" spans="2:16" s="88" customFormat="1" x14ac:dyDescent="0.3">
      <c r="B226" s="89" t="str">
        <f>IF(TRIM(G226)&lt;&gt;"",COUNTA($G$57:G226)&amp;"","")</f>
        <v/>
      </c>
      <c r="C226" s="142"/>
      <c r="D226" s="142"/>
      <c r="E226" s="142"/>
      <c r="F226" s="87"/>
      <c r="G226" s="32"/>
      <c r="H226" s="4"/>
      <c r="I226" s="4"/>
      <c r="J226" s="6"/>
      <c r="K226" s="6"/>
      <c r="L226" s="96"/>
      <c r="M226" s="113"/>
      <c r="N226" s="6"/>
      <c r="O226" s="96"/>
      <c r="P226" s="114"/>
    </row>
    <row r="227" spans="2:16" s="88" customFormat="1" x14ac:dyDescent="0.3">
      <c r="B227" s="90" t="str">
        <f>IF(TRIM(G227)&lt;&gt;"",COUNTA($G$57:G227)&amp;"","")</f>
        <v/>
      </c>
      <c r="C227" s="91"/>
      <c r="D227" s="104"/>
      <c r="E227" s="145">
        <v>80000</v>
      </c>
      <c r="F227" s="2" t="s">
        <v>62</v>
      </c>
      <c r="G227" s="92"/>
      <c r="H227" s="91"/>
      <c r="I227" s="91"/>
      <c r="J227" s="91"/>
      <c r="K227" s="91"/>
      <c r="L227" s="91"/>
      <c r="M227" s="166"/>
      <c r="N227" s="91"/>
      <c r="O227" s="91"/>
      <c r="P227" s="94"/>
    </row>
    <row r="228" spans="2:16" s="88" customFormat="1" x14ac:dyDescent="0.3">
      <c r="B228" s="46" t="str">
        <f>IF(TRIM(G228)&lt;&gt;"",COUNTA($G$57:G228)&amp;"","")</f>
        <v>130</v>
      </c>
      <c r="C228" s="178" t="s">
        <v>125</v>
      </c>
      <c r="D228" s="178"/>
      <c r="E228" s="178"/>
      <c r="F228" s="106" t="s">
        <v>150</v>
      </c>
      <c r="G228" s="32">
        <v>1</v>
      </c>
      <c r="H228" s="4">
        <v>1</v>
      </c>
      <c r="I228" s="4" t="s">
        <v>37</v>
      </c>
      <c r="J228" s="157"/>
      <c r="K228" s="119"/>
      <c r="L228" s="119"/>
      <c r="M228" s="119"/>
      <c r="N228" s="119"/>
      <c r="O228" s="161"/>
      <c r="P228" s="162"/>
    </row>
    <row r="229" spans="2:16" s="88" customFormat="1" ht="27.6" x14ac:dyDescent="0.3">
      <c r="B229" s="46" t="str">
        <f>IF(TRIM(G229)&lt;&gt;"",COUNTA($G$57:G229)&amp;"","")</f>
        <v>131</v>
      </c>
      <c r="C229" s="179"/>
      <c r="D229" s="179"/>
      <c r="E229" s="179"/>
      <c r="F229" s="106" t="s">
        <v>151</v>
      </c>
      <c r="G229" s="32">
        <v>1</v>
      </c>
      <c r="H229" s="4">
        <v>1</v>
      </c>
      <c r="I229" s="4" t="s">
        <v>37</v>
      </c>
      <c r="J229" s="157"/>
      <c r="K229" s="119"/>
      <c r="L229" s="119"/>
      <c r="M229" s="119"/>
      <c r="N229" s="119"/>
      <c r="O229" s="161"/>
      <c r="P229" s="162"/>
    </row>
    <row r="230" spans="2:16" s="88" customFormat="1" x14ac:dyDescent="0.3">
      <c r="B230" s="46" t="str">
        <f>IF(TRIM(G230)&lt;&gt;"",COUNTA($G$57:G230)&amp;"","")</f>
        <v>132</v>
      </c>
      <c r="C230" s="179"/>
      <c r="D230" s="179"/>
      <c r="E230" s="179"/>
      <c r="F230" s="106" t="s">
        <v>152</v>
      </c>
      <c r="G230" s="32">
        <v>3</v>
      </c>
      <c r="H230" s="4">
        <v>3</v>
      </c>
      <c r="I230" s="4" t="s">
        <v>37</v>
      </c>
      <c r="J230" s="157"/>
      <c r="K230" s="119"/>
      <c r="L230" s="119"/>
      <c r="M230" s="119"/>
      <c r="N230" s="119"/>
      <c r="O230" s="161"/>
      <c r="P230" s="162"/>
    </row>
    <row r="231" spans="2:16" s="88" customFormat="1" x14ac:dyDescent="0.3">
      <c r="B231" s="46" t="str">
        <f>IF(TRIM(G231)&lt;&gt;"",COUNTA($G$57:G231)&amp;"","")</f>
        <v>133</v>
      </c>
      <c r="C231" s="179"/>
      <c r="D231" s="179"/>
      <c r="E231" s="179"/>
      <c r="F231" s="106" t="s">
        <v>153</v>
      </c>
      <c r="G231" s="32">
        <v>1</v>
      </c>
      <c r="H231" s="4">
        <v>1</v>
      </c>
      <c r="I231" s="4" t="s">
        <v>37</v>
      </c>
      <c r="J231" s="157"/>
      <c r="K231" s="119"/>
      <c r="L231" s="119"/>
      <c r="M231" s="119"/>
      <c r="N231" s="119"/>
      <c r="O231" s="161"/>
      <c r="P231" s="162"/>
    </row>
    <row r="232" spans="2:16" s="88" customFormat="1" x14ac:dyDescent="0.3">
      <c r="B232" s="46" t="str">
        <f>IF(TRIM(G232)&lt;&gt;"",COUNTA($G$57:G232)&amp;"","")</f>
        <v>134</v>
      </c>
      <c r="C232" s="179"/>
      <c r="D232" s="179"/>
      <c r="E232" s="179"/>
      <c r="F232" s="106" t="s">
        <v>154</v>
      </c>
      <c r="G232" s="32">
        <v>1</v>
      </c>
      <c r="H232" s="4">
        <v>1</v>
      </c>
      <c r="I232" s="4" t="s">
        <v>37</v>
      </c>
      <c r="J232" s="157"/>
      <c r="K232" s="119"/>
      <c r="L232" s="119"/>
      <c r="M232" s="119"/>
      <c r="N232" s="119"/>
      <c r="O232" s="161"/>
      <c r="P232" s="162"/>
    </row>
    <row r="233" spans="2:16" s="88" customFormat="1" x14ac:dyDescent="0.3">
      <c r="B233" s="46" t="str">
        <f>IF(TRIM(G233)&lt;&gt;"",COUNTA($G$57:G233)&amp;"","")</f>
        <v>135</v>
      </c>
      <c r="C233" s="179"/>
      <c r="D233" s="179"/>
      <c r="E233" s="179"/>
      <c r="F233" s="106" t="s">
        <v>155</v>
      </c>
      <c r="G233" s="32">
        <v>2</v>
      </c>
      <c r="H233" s="4">
        <v>2</v>
      </c>
      <c r="I233" s="4" t="s">
        <v>37</v>
      </c>
      <c r="J233" s="157"/>
      <c r="K233" s="119"/>
      <c r="L233" s="119"/>
      <c r="M233" s="119"/>
      <c r="N233" s="119"/>
      <c r="O233" s="161"/>
      <c r="P233" s="162"/>
    </row>
    <row r="234" spans="2:16" s="88" customFormat="1" x14ac:dyDescent="0.3">
      <c r="B234" s="46" t="str">
        <f>IF(TRIM(G234)&lt;&gt;"",COUNTA($G$57:G234)&amp;"","")</f>
        <v>136</v>
      </c>
      <c r="C234" s="179"/>
      <c r="D234" s="179"/>
      <c r="E234" s="179"/>
      <c r="F234" s="106" t="s">
        <v>156</v>
      </c>
      <c r="G234" s="32">
        <v>1</v>
      </c>
      <c r="H234" s="4">
        <v>1</v>
      </c>
      <c r="I234" s="4" t="s">
        <v>37</v>
      </c>
      <c r="J234" s="157"/>
      <c r="K234" s="119"/>
      <c r="L234" s="119"/>
      <c r="M234" s="119"/>
      <c r="N234" s="119"/>
      <c r="O234" s="161"/>
      <c r="P234" s="162"/>
    </row>
    <row r="235" spans="2:16" s="88" customFormat="1" x14ac:dyDescent="0.3">
      <c r="B235" s="46" t="str">
        <f>IF(TRIM(G235)&lt;&gt;"",COUNTA($G$57:G235)&amp;"","")</f>
        <v>137</v>
      </c>
      <c r="C235" s="180"/>
      <c r="D235" s="180"/>
      <c r="E235" s="180"/>
      <c r="F235" s="106" t="s">
        <v>157</v>
      </c>
      <c r="G235" s="32">
        <v>1</v>
      </c>
      <c r="H235" s="4">
        <v>1</v>
      </c>
      <c r="I235" s="4" t="s">
        <v>37</v>
      </c>
      <c r="J235" s="157"/>
      <c r="K235" s="119"/>
      <c r="L235" s="119"/>
      <c r="M235" s="119"/>
      <c r="N235" s="119"/>
      <c r="O235" s="161"/>
      <c r="P235" s="162"/>
    </row>
    <row r="236" spans="2:16" s="88" customFormat="1" x14ac:dyDescent="0.3">
      <c r="B236" s="90" t="str">
        <f>IF(TRIM(G236)&lt;&gt;"",COUNTA($G$57:G236)&amp;"","")</f>
        <v/>
      </c>
      <c r="C236" s="91"/>
      <c r="D236" s="104"/>
      <c r="E236" s="145">
        <v>82100</v>
      </c>
      <c r="F236" s="25" t="s">
        <v>63</v>
      </c>
      <c r="G236" s="92"/>
      <c r="H236" s="91"/>
      <c r="I236" s="91"/>
      <c r="J236" s="91"/>
      <c r="K236" s="91"/>
      <c r="L236" s="91"/>
      <c r="M236" s="166"/>
      <c r="N236" s="91"/>
      <c r="O236" s="91"/>
      <c r="P236" s="94"/>
    </row>
    <row r="237" spans="2:16" s="88" customFormat="1" x14ac:dyDescent="0.3">
      <c r="B237" s="46" t="str">
        <f>IF(TRIM(G237)&lt;&gt;"",COUNTA($G$57:G237)&amp;"","")</f>
        <v>138</v>
      </c>
      <c r="C237" s="178" t="s">
        <v>125</v>
      </c>
      <c r="D237" s="178"/>
      <c r="E237" s="178"/>
      <c r="F237" s="106" t="s">
        <v>158</v>
      </c>
      <c r="G237" s="32">
        <v>2</v>
      </c>
      <c r="H237" s="4">
        <v>2</v>
      </c>
      <c r="I237" s="4" t="s">
        <v>37</v>
      </c>
      <c r="J237" s="157"/>
      <c r="K237" s="119"/>
      <c r="L237" s="119"/>
      <c r="M237" s="119"/>
      <c r="N237" s="119"/>
      <c r="O237" s="161"/>
      <c r="P237" s="162"/>
    </row>
    <row r="238" spans="2:16" s="88" customFormat="1" x14ac:dyDescent="0.3">
      <c r="B238" s="46" t="str">
        <f>IF(TRIM(G238)&lt;&gt;"",COUNTA($G$57:G238)&amp;"","")</f>
        <v>139</v>
      </c>
      <c r="C238" s="179"/>
      <c r="D238" s="179"/>
      <c r="E238" s="179"/>
      <c r="F238" s="106" t="s">
        <v>159</v>
      </c>
      <c r="G238" s="32">
        <v>2</v>
      </c>
      <c r="H238" s="4">
        <v>2</v>
      </c>
      <c r="I238" s="4" t="s">
        <v>37</v>
      </c>
      <c r="J238" s="157"/>
      <c r="K238" s="119"/>
      <c r="L238" s="119"/>
      <c r="M238" s="119"/>
      <c r="N238" s="119"/>
      <c r="O238" s="161"/>
      <c r="P238" s="162"/>
    </row>
    <row r="239" spans="2:16" s="88" customFormat="1" x14ac:dyDescent="0.3">
      <c r="B239" s="46" t="str">
        <f>IF(TRIM(G239)&lt;&gt;"",COUNTA($G$57:G239)&amp;"","")</f>
        <v>140</v>
      </c>
      <c r="C239" s="179"/>
      <c r="D239" s="179"/>
      <c r="E239" s="179"/>
      <c r="F239" s="106" t="s">
        <v>160</v>
      </c>
      <c r="G239" s="32">
        <v>1</v>
      </c>
      <c r="H239" s="4">
        <v>1</v>
      </c>
      <c r="I239" s="4" t="s">
        <v>37</v>
      </c>
      <c r="J239" s="157"/>
      <c r="K239" s="119"/>
      <c r="L239" s="119"/>
      <c r="M239" s="119"/>
      <c r="N239" s="119"/>
      <c r="O239" s="161"/>
      <c r="P239" s="162"/>
    </row>
    <row r="240" spans="2:16" s="88" customFormat="1" x14ac:dyDescent="0.3">
      <c r="B240" s="46" t="str">
        <f>IF(TRIM(G240)&lt;&gt;"",COUNTA($G$57:G240)&amp;"","")</f>
        <v>141</v>
      </c>
      <c r="C240" s="179"/>
      <c r="D240" s="179"/>
      <c r="E240" s="179"/>
      <c r="F240" s="106" t="s">
        <v>161</v>
      </c>
      <c r="G240" s="32">
        <v>1</v>
      </c>
      <c r="H240" s="4">
        <v>1</v>
      </c>
      <c r="I240" s="4" t="s">
        <v>37</v>
      </c>
      <c r="J240" s="157"/>
      <c r="K240" s="119"/>
      <c r="L240" s="119"/>
      <c r="M240" s="119"/>
      <c r="N240" s="119"/>
      <c r="O240" s="161"/>
      <c r="P240" s="162"/>
    </row>
    <row r="241" spans="2:16" s="88" customFormat="1" x14ac:dyDescent="0.3">
      <c r="B241" s="46"/>
      <c r="C241" s="179"/>
      <c r="D241" s="179"/>
      <c r="E241" s="179"/>
      <c r="F241" s="106" t="s">
        <v>162</v>
      </c>
      <c r="G241" s="32">
        <v>1</v>
      </c>
      <c r="H241" s="4">
        <v>1</v>
      </c>
      <c r="I241" s="4" t="s">
        <v>37</v>
      </c>
      <c r="J241" s="157"/>
      <c r="K241" s="119"/>
      <c r="L241" s="119"/>
      <c r="M241" s="119"/>
      <c r="N241" s="119"/>
      <c r="O241" s="161"/>
      <c r="P241" s="162"/>
    </row>
    <row r="242" spans="2:16" s="88" customFormat="1" x14ac:dyDescent="0.3">
      <c r="B242" s="46" t="str">
        <f>IF(TRIM(G242)&lt;&gt;"",COUNTA($G$57:G242)&amp;"","")</f>
        <v>143</v>
      </c>
      <c r="C242" s="179"/>
      <c r="D242" s="179"/>
      <c r="E242" s="179"/>
      <c r="F242" s="106" t="s">
        <v>163</v>
      </c>
      <c r="G242" s="32">
        <v>1</v>
      </c>
      <c r="H242" s="4">
        <v>1</v>
      </c>
      <c r="I242" s="4" t="s">
        <v>37</v>
      </c>
      <c r="J242" s="157"/>
      <c r="K242" s="119"/>
      <c r="L242" s="119"/>
      <c r="M242" s="119"/>
      <c r="N242" s="119"/>
      <c r="O242" s="161"/>
      <c r="P242" s="162"/>
    </row>
    <row r="243" spans="2:16" s="88" customFormat="1" x14ac:dyDescent="0.3">
      <c r="B243" s="90" t="str">
        <f>IF(TRIM(G243)&lt;&gt;"",COUNTA($G$57:G243)&amp;"","")</f>
        <v/>
      </c>
      <c r="C243" s="91"/>
      <c r="D243" s="104"/>
      <c r="E243" s="141">
        <v>87100</v>
      </c>
      <c r="F243" s="25" t="s">
        <v>64</v>
      </c>
      <c r="G243" s="92"/>
      <c r="H243" s="91"/>
      <c r="I243" s="91"/>
      <c r="J243" s="91"/>
      <c r="K243" s="91"/>
      <c r="L243" s="91"/>
      <c r="M243" s="166"/>
      <c r="N243" s="91"/>
      <c r="O243" s="91"/>
      <c r="P243" s="94"/>
    </row>
    <row r="244" spans="2:16" s="88" customFormat="1" ht="27.6" x14ac:dyDescent="0.3">
      <c r="B244" s="89" t="str">
        <f>IF(TRIM(G244)&lt;&gt;"",COUNTA($G$57:G244)&amp;"","")</f>
        <v>144</v>
      </c>
      <c r="C244" s="142" t="s">
        <v>125</v>
      </c>
      <c r="D244" s="142"/>
      <c r="E244" s="142"/>
      <c r="F244" s="87" t="s">
        <v>164</v>
      </c>
      <c r="G244" s="32">
        <v>19</v>
      </c>
      <c r="H244" s="4">
        <f>12+1+1+3+2</f>
        <v>19</v>
      </c>
      <c r="I244" s="4" t="s">
        <v>65</v>
      </c>
      <c r="J244" s="157"/>
      <c r="K244" s="119"/>
      <c r="L244" s="119"/>
      <c r="M244" s="158"/>
      <c r="N244" s="119"/>
      <c r="O244" s="161"/>
      <c r="P244" s="162"/>
    </row>
    <row r="245" spans="2:16" s="88" customFormat="1" ht="14.4" thickBot="1" x14ac:dyDescent="0.35">
      <c r="B245" s="46" t="str">
        <f>IF(TRIM(G245)&lt;&gt;"",COUNTA($G$57:G245)&amp;"","")</f>
        <v/>
      </c>
      <c r="C245" s="142"/>
      <c r="D245" s="142"/>
      <c r="E245" s="142"/>
      <c r="F245" s="19" t="s">
        <v>8</v>
      </c>
      <c r="G245" s="38"/>
      <c r="H245" s="27"/>
      <c r="I245" s="27"/>
      <c r="J245" s="40"/>
      <c r="K245" s="40"/>
      <c r="L245" s="21"/>
      <c r="M245" s="71"/>
      <c r="N245" s="40"/>
      <c r="O245" s="21"/>
      <c r="P245" s="53"/>
    </row>
    <row r="246" spans="2:16" s="88" customFormat="1" x14ac:dyDescent="0.3">
      <c r="B246" s="46" t="str">
        <f>IF(TRIM(G246)&lt;&gt;"",COUNTA($G$57:G246)&amp;"","")</f>
        <v/>
      </c>
      <c r="C246" s="142"/>
      <c r="D246" s="142"/>
      <c r="E246" s="142"/>
      <c r="F246" s="87"/>
      <c r="G246" s="125"/>
      <c r="H246" s="126"/>
      <c r="I246" s="126"/>
      <c r="J246" s="127"/>
      <c r="K246" s="127"/>
      <c r="L246" s="110"/>
      <c r="M246" s="111"/>
      <c r="N246" s="127"/>
      <c r="O246" s="110"/>
      <c r="P246" s="112"/>
    </row>
    <row r="247" spans="2:16" s="88" customFormat="1" x14ac:dyDescent="0.3">
      <c r="B247" s="46" t="str">
        <f>IF(TRIM(G247)&lt;&gt;"",COUNTA($G$57:G247)&amp;"","")</f>
        <v/>
      </c>
      <c r="C247" s="142"/>
      <c r="D247" s="142"/>
      <c r="E247" s="142"/>
      <c r="F247" s="87"/>
      <c r="G247" s="32"/>
      <c r="H247" s="4"/>
      <c r="I247" s="4"/>
      <c r="J247" s="6"/>
      <c r="K247" s="6"/>
      <c r="L247" s="96"/>
      <c r="M247" s="113"/>
      <c r="N247" s="6"/>
      <c r="O247" s="96"/>
      <c r="P247" s="114"/>
    </row>
    <row r="248" spans="2:16" s="88" customFormat="1" x14ac:dyDescent="0.3">
      <c r="B248" s="90" t="str">
        <f>IF(TRIM(G248)&lt;&gt;"",COUNTA($G$57:G248)&amp;"","")</f>
        <v/>
      </c>
      <c r="C248" s="91"/>
      <c r="D248" s="91"/>
      <c r="E248" s="141">
        <v>90000</v>
      </c>
      <c r="F248" s="2" t="s">
        <v>66</v>
      </c>
      <c r="G248" s="92"/>
      <c r="H248" s="91"/>
      <c r="I248" s="91"/>
      <c r="J248" s="91"/>
      <c r="K248" s="91"/>
      <c r="L248" s="91"/>
      <c r="M248" s="93"/>
      <c r="N248" s="91"/>
      <c r="O248" s="91"/>
      <c r="P248" s="94"/>
    </row>
    <row r="249" spans="2:16" s="88" customFormat="1" ht="27.6" x14ac:dyDescent="0.3">
      <c r="B249" s="89" t="str">
        <f>IF(TRIM(G249)&lt;&gt;"",COUNTA($G$57:G249)&amp;"","")</f>
        <v>145</v>
      </c>
      <c r="C249" s="137" t="s">
        <v>125</v>
      </c>
      <c r="D249" s="124"/>
      <c r="E249" s="124"/>
      <c r="F249" s="106" t="s">
        <v>149</v>
      </c>
      <c r="G249" s="32">
        <v>495</v>
      </c>
      <c r="H249" s="4">
        <f>(338.8)+(16.9*9)</f>
        <v>490.9</v>
      </c>
      <c r="I249" s="4" t="s">
        <v>38</v>
      </c>
      <c r="J249" s="157"/>
      <c r="K249" s="119"/>
      <c r="L249" s="119"/>
      <c r="M249" s="158"/>
      <c r="N249" s="119"/>
      <c r="O249" s="161"/>
      <c r="P249" s="162"/>
    </row>
    <row r="250" spans="2:16" s="88" customFormat="1" x14ac:dyDescent="0.3">
      <c r="B250" s="90" t="str">
        <f>IF(TRIM(G250)&lt;&gt;"",COUNTA($G$57:G250)&amp;"","")</f>
        <v/>
      </c>
      <c r="C250" s="91"/>
      <c r="D250" s="104"/>
      <c r="E250" s="141">
        <v>92600</v>
      </c>
      <c r="F250" s="25" t="s">
        <v>67</v>
      </c>
      <c r="G250" s="92"/>
      <c r="H250" s="91"/>
      <c r="I250" s="91"/>
      <c r="J250" s="91"/>
      <c r="K250" s="91"/>
      <c r="L250" s="91"/>
      <c r="M250" s="93"/>
      <c r="N250" s="91"/>
      <c r="O250" s="91"/>
      <c r="P250" s="94"/>
    </row>
    <row r="251" spans="2:16" s="88" customFormat="1" ht="15" customHeight="1" x14ac:dyDescent="0.3">
      <c r="B251" s="89" t="str">
        <f>IF(TRIM(G251)&lt;&gt;"",COUNTA($G$57:G251)&amp;"","")</f>
        <v/>
      </c>
      <c r="C251" s="181" t="s">
        <v>125</v>
      </c>
      <c r="D251" s="181"/>
      <c r="E251" s="181"/>
      <c r="F251" s="117" t="s">
        <v>141</v>
      </c>
      <c r="G251" s="32"/>
      <c r="H251" s="4"/>
      <c r="I251" s="4"/>
      <c r="J251" s="6"/>
      <c r="K251" s="96"/>
      <c r="L251" s="70"/>
      <c r="M251" s="70"/>
      <c r="N251" s="6"/>
      <c r="O251" s="96"/>
      <c r="P251" s="52"/>
    </row>
    <row r="252" spans="2:16" s="88" customFormat="1" x14ac:dyDescent="0.3">
      <c r="B252" s="89" t="str">
        <f>IF(TRIM(G252)&lt;&gt;"",COUNTA($G$57:G252)&amp;"","")</f>
        <v>146</v>
      </c>
      <c r="C252" s="182"/>
      <c r="D252" s="182"/>
      <c r="E252" s="182"/>
      <c r="F252" s="106" t="s">
        <v>142</v>
      </c>
      <c r="G252" s="149">
        <v>1155</v>
      </c>
      <c r="H252" s="5">
        <v>1152.06</v>
      </c>
      <c r="I252" s="5" t="s">
        <v>38</v>
      </c>
      <c r="J252" s="157"/>
      <c r="K252" s="119"/>
      <c r="L252" s="119"/>
      <c r="M252" s="158"/>
      <c r="N252" s="119"/>
      <c r="O252" s="161"/>
      <c r="P252" s="162"/>
    </row>
    <row r="253" spans="2:16" s="88" customFormat="1" ht="15" customHeight="1" x14ac:dyDescent="0.3">
      <c r="B253" s="89" t="str">
        <f>IF(TRIM(G253)&lt;&gt;"",COUNTA($G$57:G253)&amp;"","")</f>
        <v/>
      </c>
      <c r="C253" s="178" t="s">
        <v>125</v>
      </c>
      <c r="D253" s="178"/>
      <c r="E253" s="178"/>
      <c r="F253" s="117" t="s">
        <v>117</v>
      </c>
      <c r="G253" s="32"/>
      <c r="H253" s="4"/>
      <c r="I253" s="4"/>
      <c r="J253" s="6"/>
      <c r="K253" s="96"/>
      <c r="L253" s="70"/>
      <c r="M253" s="70"/>
      <c r="N253" s="6"/>
      <c r="O253" s="96"/>
      <c r="P253" s="52"/>
    </row>
    <row r="254" spans="2:16" s="88" customFormat="1" x14ac:dyDescent="0.3">
      <c r="B254" s="89" t="str">
        <f>IF(TRIM(G254)&lt;&gt;"",COUNTA($G$57:G254)&amp;"","")</f>
        <v>147</v>
      </c>
      <c r="C254" s="179"/>
      <c r="D254" s="179"/>
      <c r="E254" s="179"/>
      <c r="F254" s="106" t="s">
        <v>57</v>
      </c>
      <c r="G254" s="32">
        <v>785</v>
      </c>
      <c r="H254" s="4">
        <f>(((126.12/1.333)+1)*8.166)</f>
        <v>780.78109377344344</v>
      </c>
      <c r="I254" s="4" t="s">
        <v>36</v>
      </c>
      <c r="J254" s="157"/>
      <c r="K254" s="119"/>
      <c r="L254" s="119"/>
      <c r="M254" s="158"/>
      <c r="N254" s="119"/>
      <c r="O254" s="161"/>
      <c r="P254" s="162"/>
    </row>
    <row r="255" spans="2:16" s="88" customFormat="1" x14ac:dyDescent="0.3">
      <c r="B255" s="89" t="str">
        <f>IF(TRIM(G255)&lt;&gt;"",COUNTA($G$57:G255)&amp;"","")</f>
        <v>148</v>
      </c>
      <c r="C255" s="179"/>
      <c r="D255" s="179"/>
      <c r="E255" s="179"/>
      <c r="F255" s="106" t="s">
        <v>215</v>
      </c>
      <c r="G255" s="32">
        <v>1030</v>
      </c>
      <c r="H255" s="4">
        <f>(126.12*8.166)</f>
        <v>1029.8959200000002</v>
      </c>
      <c r="I255" s="4" t="s">
        <v>38</v>
      </c>
      <c r="J255" s="157"/>
      <c r="K255" s="119"/>
      <c r="L255" s="119"/>
      <c r="M255" s="158"/>
      <c r="N255" s="119"/>
      <c r="O255" s="161"/>
      <c r="P255" s="162"/>
    </row>
    <row r="256" spans="2:16" s="88" customFormat="1" x14ac:dyDescent="0.3">
      <c r="B256" s="89" t="str">
        <f>IF(TRIM(G256)&lt;&gt;"",COUNTA($G$57:G256)&amp;"","")</f>
        <v>149</v>
      </c>
      <c r="C256" s="179"/>
      <c r="D256" s="179"/>
      <c r="E256" s="179"/>
      <c r="F256" s="106" t="s">
        <v>118</v>
      </c>
      <c r="G256" s="32">
        <v>2060</v>
      </c>
      <c r="H256" s="4">
        <f>2*(126.12*8.166)</f>
        <v>2059.7918400000003</v>
      </c>
      <c r="I256" s="4" t="s">
        <v>38</v>
      </c>
      <c r="J256" s="157"/>
      <c r="K256" s="119"/>
      <c r="L256" s="119"/>
      <c r="M256" s="158"/>
      <c r="N256" s="119"/>
      <c r="O256" s="161"/>
      <c r="P256" s="162"/>
    </row>
    <row r="257" spans="2:16" s="88" customFormat="1" x14ac:dyDescent="0.3">
      <c r="B257" s="89" t="str">
        <f>IF(TRIM(G257)&lt;&gt;"",COUNTA($G$57:G257)&amp;"","")</f>
        <v>150</v>
      </c>
      <c r="C257" s="179"/>
      <c r="D257" s="179"/>
      <c r="E257" s="179"/>
      <c r="F257" s="106" t="s">
        <v>120</v>
      </c>
      <c r="G257" s="32">
        <v>126</v>
      </c>
      <c r="H257" s="4">
        <f>(126)</f>
        <v>126</v>
      </c>
      <c r="I257" s="4" t="s">
        <v>36</v>
      </c>
      <c r="J257" s="157"/>
      <c r="K257" s="119"/>
      <c r="L257" s="119"/>
      <c r="M257" s="158"/>
      <c r="N257" s="119"/>
      <c r="O257" s="161"/>
      <c r="P257" s="162"/>
    </row>
    <row r="258" spans="2:16" s="88" customFormat="1" x14ac:dyDescent="0.3">
      <c r="B258" s="89" t="str">
        <f>IF(TRIM(G258)&lt;&gt;"",COUNTA($G$57:G258)&amp;"","")</f>
        <v>151</v>
      </c>
      <c r="C258" s="179"/>
      <c r="D258" s="179"/>
      <c r="E258" s="179"/>
      <c r="F258" s="106" t="s">
        <v>121</v>
      </c>
      <c r="G258" s="32">
        <v>252</v>
      </c>
      <c r="H258" s="4">
        <f>(2*126)</f>
        <v>252</v>
      </c>
      <c r="I258" s="4" t="s">
        <v>36</v>
      </c>
      <c r="J258" s="157"/>
      <c r="K258" s="119"/>
      <c r="L258" s="119"/>
      <c r="M258" s="158"/>
      <c r="N258" s="119"/>
      <c r="O258" s="161"/>
      <c r="P258" s="162"/>
    </row>
    <row r="259" spans="2:16" s="88" customFormat="1" ht="15" customHeight="1" x14ac:dyDescent="0.3">
      <c r="B259" s="89" t="str">
        <f>IF(TRIM(G259)&lt;&gt;"",COUNTA($G$57:G259)&amp;"","")</f>
        <v/>
      </c>
      <c r="C259" s="178" t="s">
        <v>125</v>
      </c>
      <c r="D259" s="178"/>
      <c r="E259" s="178"/>
      <c r="F259" s="117" t="s">
        <v>119</v>
      </c>
      <c r="G259" s="32"/>
      <c r="H259" s="4"/>
      <c r="I259" s="4"/>
      <c r="J259" s="6"/>
      <c r="K259" s="96"/>
      <c r="L259" s="70"/>
      <c r="M259" s="70"/>
      <c r="N259" s="6"/>
      <c r="O259" s="96"/>
      <c r="P259" s="52"/>
    </row>
    <row r="260" spans="2:16" s="88" customFormat="1" x14ac:dyDescent="0.3">
      <c r="B260" s="89" t="str">
        <f>IF(TRIM(G260)&lt;&gt;"",COUNTA($G$57:G260)&amp;"","")</f>
        <v>152</v>
      </c>
      <c r="C260" s="179"/>
      <c r="D260" s="179"/>
      <c r="E260" s="179"/>
      <c r="F260" s="106" t="s">
        <v>57</v>
      </c>
      <c r="G260" s="32">
        <v>390</v>
      </c>
      <c r="H260" s="4">
        <f>(((6.32/1.333)+1)*2)+(((5.97/1.333)+1)*3)+(((57.68/1.333)+1)*8.166)</f>
        <v>389.43372693173296</v>
      </c>
      <c r="I260" s="4" t="s">
        <v>36</v>
      </c>
      <c r="J260" s="157"/>
      <c r="K260" s="119"/>
      <c r="L260" s="119"/>
      <c r="M260" s="158"/>
      <c r="N260" s="119"/>
      <c r="O260" s="161"/>
      <c r="P260" s="162"/>
    </row>
    <row r="261" spans="2:16" s="88" customFormat="1" x14ac:dyDescent="0.3">
      <c r="B261" s="89" t="str">
        <f>IF(TRIM(G261)&lt;&gt;"",COUNTA($G$57:G261)&amp;"","")</f>
        <v>153</v>
      </c>
      <c r="C261" s="179"/>
      <c r="D261" s="179"/>
      <c r="E261" s="179"/>
      <c r="F261" s="106" t="s">
        <v>214</v>
      </c>
      <c r="G261" s="32">
        <v>500</v>
      </c>
      <c r="H261" s="4">
        <f>(6.32*2)+(5.97*3)+(57.68*8.166)</f>
        <v>501.56488000000002</v>
      </c>
      <c r="I261" s="4" t="s">
        <v>38</v>
      </c>
      <c r="J261" s="157"/>
      <c r="K261" s="119"/>
      <c r="L261" s="119"/>
      <c r="M261" s="158"/>
      <c r="N261" s="119"/>
      <c r="O261" s="161"/>
      <c r="P261" s="162"/>
    </row>
    <row r="262" spans="2:16" s="88" customFormat="1" x14ac:dyDescent="0.3">
      <c r="B262" s="89" t="str">
        <f>IF(TRIM(G262)&lt;&gt;"",COUNTA($G$57:G262)&amp;"","")</f>
        <v>154</v>
      </c>
      <c r="C262" s="179"/>
      <c r="D262" s="179"/>
      <c r="E262" s="179"/>
      <c r="F262" s="106" t="s">
        <v>122</v>
      </c>
      <c r="G262" s="32">
        <v>500</v>
      </c>
      <c r="H262" s="4">
        <f>(6.32*2)+(5.97*3)+(57.68*8.166)</f>
        <v>501.56488000000002</v>
      </c>
      <c r="I262" s="4" t="s">
        <v>38</v>
      </c>
      <c r="J262" s="157"/>
      <c r="K262" s="119"/>
      <c r="L262" s="119"/>
      <c r="M262" s="158"/>
      <c r="N262" s="119"/>
      <c r="O262" s="161"/>
      <c r="P262" s="162"/>
    </row>
    <row r="263" spans="2:16" s="88" customFormat="1" x14ac:dyDescent="0.3">
      <c r="B263" s="89" t="str">
        <f>IF(TRIM(G263)&lt;&gt;"",COUNTA($G$57:G263)&amp;"","")</f>
        <v>155</v>
      </c>
      <c r="C263" s="179"/>
      <c r="D263" s="179"/>
      <c r="E263" s="179"/>
      <c r="F263" s="106" t="s">
        <v>124</v>
      </c>
      <c r="G263" s="32">
        <v>500</v>
      </c>
      <c r="H263" s="4">
        <f>(6.32*2)+(5.97*3)+(57.68*8.166)</f>
        <v>501.56488000000002</v>
      </c>
      <c r="I263" s="4" t="s">
        <v>38</v>
      </c>
      <c r="J263" s="157"/>
      <c r="K263" s="119"/>
      <c r="L263" s="119"/>
      <c r="M263" s="158"/>
      <c r="N263" s="119"/>
      <c r="O263" s="161"/>
      <c r="P263" s="162"/>
    </row>
    <row r="264" spans="2:16" s="88" customFormat="1" x14ac:dyDescent="0.3">
      <c r="B264" s="89" t="str">
        <f>IF(TRIM(G264)&lt;&gt;"",COUNTA($G$57:G264)&amp;"","")</f>
        <v>156</v>
      </c>
      <c r="C264" s="179"/>
      <c r="D264" s="179"/>
      <c r="E264" s="179"/>
      <c r="F264" s="106" t="s">
        <v>123</v>
      </c>
      <c r="G264" s="32">
        <v>500</v>
      </c>
      <c r="H264" s="4">
        <f>(6.32*2)+(5.97*3)+(57.68*8.166)</f>
        <v>501.56488000000002</v>
      </c>
      <c r="I264" s="4" t="s">
        <v>38</v>
      </c>
      <c r="J264" s="157"/>
      <c r="K264" s="119"/>
      <c r="L264" s="119"/>
      <c r="M264" s="158"/>
      <c r="N264" s="119"/>
      <c r="O264" s="161"/>
      <c r="P264" s="162"/>
    </row>
    <row r="265" spans="2:16" s="88" customFormat="1" x14ac:dyDescent="0.3">
      <c r="B265" s="89" t="str">
        <f>IF(TRIM(G265)&lt;&gt;"",COUNTA($G$57:G265)&amp;"","")</f>
        <v>157</v>
      </c>
      <c r="C265" s="179"/>
      <c r="D265" s="179"/>
      <c r="E265" s="179"/>
      <c r="F265" s="106" t="s">
        <v>120</v>
      </c>
      <c r="G265" s="32">
        <v>70</v>
      </c>
      <c r="H265" s="4">
        <v>70</v>
      </c>
      <c r="I265" s="4" t="s">
        <v>36</v>
      </c>
      <c r="J265" s="157"/>
      <c r="K265" s="119"/>
      <c r="L265" s="119"/>
      <c r="M265" s="158"/>
      <c r="N265" s="119"/>
      <c r="O265" s="161"/>
      <c r="P265" s="162"/>
    </row>
    <row r="266" spans="2:16" s="88" customFormat="1" x14ac:dyDescent="0.3">
      <c r="B266" s="89" t="str">
        <f>IF(TRIM(G266)&lt;&gt;"",COUNTA($G$57:G266)&amp;"","")</f>
        <v>158</v>
      </c>
      <c r="C266" s="179"/>
      <c r="D266" s="179"/>
      <c r="E266" s="179"/>
      <c r="F266" s="106" t="s">
        <v>121</v>
      </c>
      <c r="G266" s="32">
        <v>140</v>
      </c>
      <c r="H266" s="4">
        <f>(2*70)</f>
        <v>140</v>
      </c>
      <c r="I266" s="4" t="s">
        <v>36</v>
      </c>
      <c r="J266" s="157"/>
      <c r="K266" s="119"/>
      <c r="L266" s="119"/>
      <c r="M266" s="158"/>
      <c r="N266" s="119"/>
      <c r="O266" s="161"/>
      <c r="P266" s="162"/>
    </row>
    <row r="267" spans="2:16" s="88" customFormat="1" x14ac:dyDescent="0.3">
      <c r="B267" s="90" t="str">
        <f>IF(TRIM(G267)&lt;&gt;"",COUNTA($G$57:G267)&amp;"","")</f>
        <v/>
      </c>
      <c r="C267" s="91"/>
      <c r="D267" s="104"/>
      <c r="E267" s="145">
        <v>96000</v>
      </c>
      <c r="F267" s="25" t="s">
        <v>68</v>
      </c>
      <c r="G267" s="92"/>
      <c r="H267" s="91"/>
      <c r="I267" s="91"/>
      <c r="J267" s="91"/>
      <c r="K267" s="91"/>
      <c r="L267" s="91"/>
      <c r="M267" s="93"/>
      <c r="N267" s="91"/>
      <c r="O267" s="91"/>
      <c r="P267" s="94"/>
    </row>
    <row r="268" spans="2:16" s="88" customFormat="1" x14ac:dyDescent="0.3">
      <c r="B268" s="46" t="str">
        <f>IF(TRIM(G268)&lt;&gt;"",COUNTA($G$57:G268)&amp;"","")</f>
        <v>159</v>
      </c>
      <c r="C268" s="178" t="s">
        <v>125</v>
      </c>
      <c r="D268" s="178"/>
      <c r="E268" s="178"/>
      <c r="F268" s="106" t="s">
        <v>143</v>
      </c>
      <c r="G268" s="32">
        <v>555</v>
      </c>
      <c r="H268" s="4">
        <v>551.80999999999995</v>
      </c>
      <c r="I268" s="4" t="s">
        <v>38</v>
      </c>
      <c r="J268" s="157"/>
      <c r="K268" s="119"/>
      <c r="L268" s="119"/>
      <c r="M268" s="158"/>
      <c r="N268" s="119"/>
      <c r="O268" s="161"/>
      <c r="P268" s="162"/>
    </row>
    <row r="269" spans="2:16" s="88" customFormat="1" x14ac:dyDescent="0.3">
      <c r="B269" s="46" t="str">
        <f>IF(TRIM(G269)&lt;&gt;"",COUNTA($G$57:G269)&amp;"","")</f>
        <v>160</v>
      </c>
      <c r="C269" s="179"/>
      <c r="D269" s="179"/>
      <c r="E269" s="179"/>
      <c r="F269" s="106" t="s">
        <v>144</v>
      </c>
      <c r="G269" s="32">
        <v>100</v>
      </c>
      <c r="H269" s="4">
        <v>98.45</v>
      </c>
      <c r="I269" s="4" t="s">
        <v>38</v>
      </c>
      <c r="J269" s="157"/>
      <c r="K269" s="119"/>
      <c r="L269" s="119"/>
      <c r="M269" s="158"/>
      <c r="N269" s="119"/>
      <c r="O269" s="161"/>
      <c r="P269" s="162"/>
    </row>
    <row r="270" spans="2:16" s="88" customFormat="1" x14ac:dyDescent="0.3">
      <c r="B270" s="46" t="str">
        <f>IF(TRIM(G270)&lt;&gt;"",COUNTA($G$57:G270)&amp;"","")</f>
        <v>161</v>
      </c>
      <c r="C270" s="179"/>
      <c r="D270" s="179"/>
      <c r="E270" s="179"/>
      <c r="F270" s="106" t="s">
        <v>145</v>
      </c>
      <c r="G270" s="32">
        <v>445</v>
      </c>
      <c r="H270" s="4">
        <v>440.03</v>
      </c>
      <c r="I270" s="4" t="s">
        <v>38</v>
      </c>
      <c r="J270" s="157"/>
      <c r="K270" s="119"/>
      <c r="L270" s="119"/>
      <c r="M270" s="158"/>
      <c r="N270" s="119"/>
      <c r="O270" s="161"/>
      <c r="P270" s="162"/>
    </row>
    <row r="271" spans="2:16" s="88" customFormat="1" x14ac:dyDescent="0.3">
      <c r="B271" s="46" t="str">
        <f>IF(TRIM(G271)&lt;&gt;"",COUNTA($G$57:G271)&amp;"","")</f>
        <v>162</v>
      </c>
      <c r="C271" s="179"/>
      <c r="D271" s="179"/>
      <c r="E271" s="179"/>
      <c r="F271" s="106" t="s">
        <v>146</v>
      </c>
      <c r="G271" s="32">
        <v>85</v>
      </c>
      <c r="H271" s="4">
        <f>(12.92*8)-(21)</f>
        <v>82.36</v>
      </c>
      <c r="I271" s="4" t="s">
        <v>38</v>
      </c>
      <c r="J271" s="157"/>
      <c r="K271" s="119"/>
      <c r="L271" s="119"/>
      <c r="M271" s="158"/>
      <c r="N271" s="119"/>
      <c r="O271" s="161"/>
      <c r="P271" s="162"/>
    </row>
    <row r="272" spans="2:16" s="88" customFormat="1" x14ac:dyDescent="0.3">
      <c r="B272" s="46" t="str">
        <f>IF(TRIM(G272)&lt;&gt;"",COUNTA($G$57:G272)&amp;"","")</f>
        <v>163</v>
      </c>
      <c r="C272" s="179"/>
      <c r="D272" s="179"/>
      <c r="E272" s="179"/>
      <c r="F272" s="106" t="s">
        <v>147</v>
      </c>
      <c r="G272" s="32">
        <v>33</v>
      </c>
      <c r="H272" s="4">
        <v>32.82</v>
      </c>
      <c r="I272" s="4" t="s">
        <v>36</v>
      </c>
      <c r="J272" s="157"/>
      <c r="K272" s="119"/>
      <c r="L272" s="119"/>
      <c r="M272" s="158"/>
      <c r="N272" s="119"/>
      <c r="O272" s="161"/>
      <c r="P272" s="162"/>
    </row>
    <row r="273" spans="2:16" s="88" customFormat="1" x14ac:dyDescent="0.3">
      <c r="B273" s="46" t="str">
        <f>IF(TRIM(G273)&lt;&gt;"",COUNTA($G$57:G273)&amp;"","")</f>
        <v>164</v>
      </c>
      <c r="C273" s="180"/>
      <c r="D273" s="180"/>
      <c r="E273" s="180"/>
      <c r="F273" s="106" t="s">
        <v>148</v>
      </c>
      <c r="G273" s="32">
        <v>415</v>
      </c>
      <c r="H273" s="4">
        <v>412.96</v>
      </c>
      <c r="I273" s="4" t="s">
        <v>36</v>
      </c>
      <c r="J273" s="157"/>
      <c r="K273" s="119"/>
      <c r="L273" s="119"/>
      <c r="M273" s="158"/>
      <c r="N273" s="119"/>
      <c r="O273" s="161"/>
      <c r="P273" s="162"/>
    </row>
    <row r="274" spans="2:16" s="88" customFormat="1" x14ac:dyDescent="0.3">
      <c r="B274" s="90" t="str">
        <f>IF(TRIM(G274)&lt;&gt;"",COUNTA($G$57:G274)&amp;"","")</f>
        <v/>
      </c>
      <c r="C274" s="91"/>
      <c r="D274" s="104"/>
      <c r="E274" s="141">
        <v>99100</v>
      </c>
      <c r="F274" s="25" t="s">
        <v>69</v>
      </c>
      <c r="G274" s="92"/>
      <c r="H274" s="91"/>
      <c r="I274" s="91"/>
      <c r="J274" s="91"/>
      <c r="K274" s="91"/>
      <c r="L274" s="91"/>
      <c r="M274" s="93"/>
      <c r="N274" s="91"/>
      <c r="O274" s="91"/>
      <c r="P274" s="94"/>
    </row>
    <row r="275" spans="2:16" s="88" customFormat="1" x14ac:dyDescent="0.3">
      <c r="B275" s="89" t="str">
        <f>IF(TRIM(G275)&lt;&gt;"",COUNTA($G$57:G275)&amp;"","")</f>
        <v>165</v>
      </c>
      <c r="C275" s="178" t="s">
        <v>125</v>
      </c>
      <c r="D275" s="178"/>
      <c r="E275" s="178"/>
      <c r="F275" s="106" t="s">
        <v>134</v>
      </c>
      <c r="G275" s="32">
        <v>4510</v>
      </c>
      <c r="H275" s="4">
        <f>667.2*8-833</f>
        <v>4504.6000000000004</v>
      </c>
      <c r="I275" s="4" t="s">
        <v>38</v>
      </c>
      <c r="J275" s="157"/>
      <c r="K275" s="119"/>
      <c r="L275" s="119"/>
      <c r="M275" s="158"/>
      <c r="N275" s="119"/>
      <c r="O275" s="161"/>
      <c r="P275" s="162"/>
    </row>
    <row r="276" spans="2:16" s="88" customFormat="1" x14ac:dyDescent="0.3">
      <c r="B276" s="89" t="str">
        <f>IF(TRIM(G276)&lt;&gt;"",COUNTA($G$57:G276)&amp;"","")</f>
        <v>166</v>
      </c>
      <c r="C276" s="179"/>
      <c r="D276" s="179"/>
      <c r="E276" s="179"/>
      <c r="F276" s="106" t="s">
        <v>135</v>
      </c>
      <c r="G276" s="32">
        <v>210</v>
      </c>
      <c r="H276" s="4">
        <v>205.31</v>
      </c>
      <c r="I276" s="4" t="s">
        <v>38</v>
      </c>
      <c r="J276" s="157"/>
      <c r="K276" s="119"/>
      <c r="L276" s="119"/>
      <c r="M276" s="158"/>
      <c r="N276" s="119"/>
      <c r="O276" s="161"/>
      <c r="P276" s="162"/>
    </row>
    <row r="277" spans="2:16" s="88" customFormat="1" x14ac:dyDescent="0.3">
      <c r="B277" s="89" t="str">
        <f>IF(TRIM(G277)&lt;&gt;"",COUNTA($G$57:G277)&amp;"","")</f>
        <v>167</v>
      </c>
      <c r="C277" s="179"/>
      <c r="D277" s="179"/>
      <c r="E277" s="179"/>
      <c r="F277" s="106" t="s">
        <v>136</v>
      </c>
      <c r="G277" s="32">
        <v>675</v>
      </c>
      <c r="H277" s="4">
        <v>671.46</v>
      </c>
      <c r="I277" s="4" t="s">
        <v>38</v>
      </c>
      <c r="J277" s="157"/>
      <c r="K277" s="119"/>
      <c r="L277" s="119"/>
      <c r="M277" s="158"/>
      <c r="N277" s="119"/>
      <c r="O277" s="161"/>
      <c r="P277" s="162"/>
    </row>
    <row r="278" spans="2:16" s="88" customFormat="1" x14ac:dyDescent="0.3">
      <c r="B278" s="89" t="str">
        <f>IF(TRIM(G278)&lt;&gt;"",COUNTA($G$57:G278)&amp;"","")</f>
        <v>168</v>
      </c>
      <c r="C278" s="179"/>
      <c r="D278" s="179"/>
      <c r="E278" s="179"/>
      <c r="F278" s="106" t="s">
        <v>137</v>
      </c>
      <c r="G278" s="32">
        <v>1155</v>
      </c>
      <c r="H278" s="4">
        <v>1152.06</v>
      </c>
      <c r="I278" s="4" t="s">
        <v>38</v>
      </c>
      <c r="J278" s="157"/>
      <c r="K278" s="119"/>
      <c r="L278" s="119"/>
      <c r="M278" s="158"/>
      <c r="N278" s="119"/>
      <c r="O278" s="161"/>
      <c r="P278" s="162"/>
    </row>
    <row r="279" spans="2:16" s="88" customFormat="1" x14ac:dyDescent="0.3">
      <c r="B279" s="99" t="str">
        <f>IF(TRIM(G279)&lt;&gt;"",COUNTA($G$57:G279)&amp;"","")</f>
        <v>169</v>
      </c>
      <c r="C279" s="179"/>
      <c r="D279" s="179"/>
      <c r="E279" s="179"/>
      <c r="F279" s="106" t="s">
        <v>138</v>
      </c>
      <c r="G279" s="32">
        <v>495</v>
      </c>
      <c r="H279" s="4">
        <v>490.9</v>
      </c>
      <c r="I279" s="4" t="s">
        <v>38</v>
      </c>
      <c r="J279" s="157"/>
      <c r="K279" s="119"/>
      <c r="L279" s="119"/>
      <c r="M279" s="158"/>
      <c r="N279" s="119"/>
      <c r="O279" s="161"/>
      <c r="P279" s="162"/>
    </row>
    <row r="280" spans="2:16" s="88" customFormat="1" x14ac:dyDescent="0.3">
      <c r="B280" s="89" t="str">
        <f>IF(TRIM(G280)&lt;&gt;"",COUNTA($G$57:G280)&amp;"","")</f>
        <v>170</v>
      </c>
      <c r="C280" s="179"/>
      <c r="D280" s="179"/>
      <c r="E280" s="179"/>
      <c r="F280" s="106" t="s">
        <v>139</v>
      </c>
      <c r="G280" s="32">
        <v>8</v>
      </c>
      <c r="H280" s="4">
        <v>8</v>
      </c>
      <c r="I280" s="4" t="s">
        <v>37</v>
      </c>
      <c r="J280" s="157"/>
      <c r="K280" s="119"/>
      <c r="L280" s="119"/>
      <c r="M280" s="158"/>
      <c r="N280" s="119"/>
      <c r="O280" s="161"/>
      <c r="P280" s="162"/>
    </row>
    <row r="281" spans="2:16" s="88" customFormat="1" x14ac:dyDescent="0.3">
      <c r="B281" s="89" t="str">
        <f>IF(TRIM(G281)&lt;&gt;"",COUNTA($G$57:G281)&amp;"","")</f>
        <v>171</v>
      </c>
      <c r="C281" s="179"/>
      <c r="D281" s="179"/>
      <c r="E281" s="179"/>
      <c r="F281" s="106" t="s">
        <v>140</v>
      </c>
      <c r="G281" s="32">
        <v>3</v>
      </c>
      <c r="H281" s="4">
        <v>3</v>
      </c>
      <c r="I281" s="4" t="s">
        <v>37</v>
      </c>
      <c r="J281" s="157"/>
      <c r="K281" s="119"/>
      <c r="L281" s="119"/>
      <c r="M281" s="158"/>
      <c r="N281" s="119"/>
      <c r="O281" s="161"/>
      <c r="P281" s="162"/>
    </row>
    <row r="282" spans="2:16" s="88" customFormat="1" ht="14.4" thickBot="1" x14ac:dyDescent="0.35">
      <c r="B282" s="89" t="str">
        <f>IF(TRIM(G282)&lt;&gt;"",COUNTA($G$57:G282)&amp;"","")</f>
        <v/>
      </c>
      <c r="C282" s="142"/>
      <c r="D282" s="142"/>
      <c r="E282" s="142"/>
      <c r="F282" s="19" t="s">
        <v>8</v>
      </c>
      <c r="G282" s="38"/>
      <c r="H282" s="27"/>
      <c r="I282" s="27"/>
      <c r="J282" s="40"/>
      <c r="K282" s="40"/>
      <c r="L282" s="21"/>
      <c r="M282" s="71"/>
      <c r="N282" s="40"/>
      <c r="O282" s="21"/>
      <c r="P282" s="53"/>
    </row>
    <row r="283" spans="2:16" s="88" customFormat="1" x14ac:dyDescent="0.3">
      <c r="B283" s="89" t="str">
        <f>IF(TRIM(G283)&lt;&gt;"",COUNTA($G$57:G283)&amp;"","")</f>
        <v/>
      </c>
      <c r="C283" s="142"/>
      <c r="D283" s="142"/>
      <c r="E283" s="142"/>
      <c r="F283" s="19"/>
      <c r="G283" s="125"/>
      <c r="H283" s="126"/>
      <c r="I283" s="126"/>
      <c r="J283" s="127"/>
      <c r="K283" s="127"/>
      <c r="L283" s="129"/>
      <c r="M283" s="130"/>
      <c r="N283" s="127"/>
      <c r="O283" s="129"/>
      <c r="P283" s="131"/>
    </row>
    <row r="284" spans="2:16" s="88" customFormat="1" x14ac:dyDescent="0.3">
      <c r="B284" s="89" t="str">
        <f>IF(TRIM(G284)&lt;&gt;"",COUNTA($G$57:G284)&amp;"","")</f>
        <v/>
      </c>
      <c r="C284" s="142"/>
      <c r="D284" s="142"/>
      <c r="E284" s="142"/>
      <c r="F284" s="19"/>
      <c r="G284" s="32"/>
      <c r="H284" s="4"/>
      <c r="I284" s="4"/>
      <c r="J284" s="6"/>
      <c r="K284" s="6"/>
      <c r="L284" s="132"/>
      <c r="M284" s="133"/>
      <c r="N284" s="6"/>
      <c r="O284" s="132"/>
      <c r="P284" s="134"/>
    </row>
    <row r="285" spans="2:16" s="88" customFormat="1" x14ac:dyDescent="0.3">
      <c r="B285" s="90" t="str">
        <f>IF(TRIM(G285)&lt;&gt;"",COUNTA($G$57:G285)&amp;"","")</f>
        <v/>
      </c>
      <c r="C285" s="91"/>
      <c r="D285" s="91"/>
      <c r="E285" s="141">
        <v>100000</v>
      </c>
      <c r="F285" s="2" t="s">
        <v>70</v>
      </c>
      <c r="G285" s="92"/>
      <c r="H285" s="91"/>
      <c r="I285" s="91"/>
      <c r="J285" s="91"/>
      <c r="K285" s="91"/>
      <c r="L285" s="91"/>
      <c r="M285" s="93"/>
      <c r="N285" s="91"/>
      <c r="O285" s="91"/>
      <c r="P285" s="94"/>
    </row>
    <row r="286" spans="2:16" s="88" customFormat="1" x14ac:dyDescent="0.3">
      <c r="B286" s="46" t="str">
        <f>IF(TRIM(G286)&lt;&gt;"",COUNTA($G$57:G286)&amp;"","")</f>
        <v>172</v>
      </c>
      <c r="C286" s="178" t="s">
        <v>125</v>
      </c>
      <c r="D286" s="178"/>
      <c r="E286" s="178"/>
      <c r="F286" s="106" t="s">
        <v>126</v>
      </c>
      <c r="G286" s="32">
        <v>10</v>
      </c>
      <c r="H286" s="4">
        <v>9.51</v>
      </c>
      <c r="I286" s="4" t="s">
        <v>36</v>
      </c>
      <c r="J286" s="160"/>
      <c r="K286" s="119"/>
      <c r="L286" s="161"/>
      <c r="M286" s="158"/>
      <c r="N286" s="119"/>
      <c r="O286" s="119"/>
      <c r="P286" s="52"/>
    </row>
    <row r="287" spans="2:16" s="88" customFormat="1" x14ac:dyDescent="0.3">
      <c r="B287" s="46" t="str">
        <f>IF(TRIM(G287)&lt;&gt;"",COUNTA($G$57:G287)&amp;"","")</f>
        <v>173</v>
      </c>
      <c r="C287" s="180"/>
      <c r="D287" s="180"/>
      <c r="E287" s="180"/>
      <c r="F287" s="106" t="s">
        <v>127</v>
      </c>
      <c r="G287" s="32">
        <v>32</v>
      </c>
      <c r="H287" s="4">
        <v>30.88</v>
      </c>
      <c r="I287" s="4" t="s">
        <v>36</v>
      </c>
      <c r="J287" s="157"/>
      <c r="K287" s="119"/>
      <c r="L287" s="119"/>
      <c r="M287" s="158"/>
      <c r="N287" s="119"/>
      <c r="O287" s="119"/>
      <c r="P287" s="52"/>
    </row>
    <row r="288" spans="2:16" s="88" customFormat="1" x14ac:dyDescent="0.3">
      <c r="B288" s="90" t="str">
        <f>IF(TRIM(G288)&lt;&gt;"",COUNTA($G$57:G288)&amp;"","")</f>
        <v/>
      </c>
      <c r="C288" s="91"/>
      <c r="D288" s="104"/>
      <c r="E288" s="145">
        <v>102813</v>
      </c>
      <c r="F288" s="25" t="s">
        <v>71</v>
      </c>
      <c r="G288" s="92"/>
      <c r="H288" s="91"/>
      <c r="I288" s="91"/>
      <c r="J288" s="91"/>
      <c r="K288" s="91"/>
      <c r="L288" s="91"/>
      <c r="M288" s="93"/>
      <c r="N288" s="91"/>
      <c r="O288" s="91"/>
      <c r="P288" s="94"/>
    </row>
    <row r="289" spans="2:16" s="88" customFormat="1" x14ac:dyDescent="0.3">
      <c r="B289" s="46" t="str">
        <f>IF(TRIM(G289)&lt;&gt;"",COUNTA($G$57:G289)&amp;"","")</f>
        <v>174</v>
      </c>
      <c r="C289" s="178" t="s">
        <v>125</v>
      </c>
      <c r="D289" s="178"/>
      <c r="E289" s="178"/>
      <c r="F289" s="106" t="s">
        <v>128</v>
      </c>
      <c r="G289" s="32">
        <v>1</v>
      </c>
      <c r="H289" s="4">
        <v>1</v>
      </c>
      <c r="I289" s="4" t="s">
        <v>37</v>
      </c>
      <c r="J289" s="160"/>
      <c r="K289" s="161"/>
      <c r="L289" s="161"/>
      <c r="M289" s="158"/>
      <c r="N289" s="119"/>
      <c r="O289" s="119"/>
      <c r="P289" s="52"/>
    </row>
    <row r="290" spans="2:16" s="26" customFormat="1" x14ac:dyDescent="0.3">
      <c r="B290" s="46" t="str">
        <f>IF(TRIM(G290)&lt;&gt;"",COUNTA($G$57:G290)&amp;"","")</f>
        <v>175</v>
      </c>
      <c r="C290" s="179"/>
      <c r="D290" s="179"/>
      <c r="E290" s="179"/>
      <c r="F290" s="106" t="s">
        <v>129</v>
      </c>
      <c r="G290" s="32">
        <v>1</v>
      </c>
      <c r="H290" s="4">
        <v>1</v>
      </c>
      <c r="I290" s="4" t="s">
        <v>37</v>
      </c>
      <c r="J290" s="160"/>
      <c r="K290" s="161"/>
      <c r="L290" s="161"/>
      <c r="M290" s="158"/>
      <c r="N290" s="119"/>
      <c r="O290" s="119"/>
      <c r="P290" s="52"/>
    </row>
    <row r="291" spans="2:16" s="88" customFormat="1" x14ac:dyDescent="0.3">
      <c r="B291" s="46" t="str">
        <f>IF(TRIM(G291)&lt;&gt;"",COUNTA($G$57:G291)&amp;"","")</f>
        <v>176</v>
      </c>
      <c r="C291" s="179"/>
      <c r="D291" s="179"/>
      <c r="E291" s="179"/>
      <c r="F291" s="106" t="s">
        <v>130</v>
      </c>
      <c r="G291" s="32">
        <v>1</v>
      </c>
      <c r="H291" s="4">
        <v>1</v>
      </c>
      <c r="I291" s="4" t="s">
        <v>37</v>
      </c>
      <c r="J291" s="160"/>
      <c r="K291" s="161"/>
      <c r="L291" s="161"/>
      <c r="M291" s="158"/>
      <c r="N291" s="119"/>
      <c r="O291" s="119"/>
      <c r="P291" s="52"/>
    </row>
    <row r="292" spans="2:16" s="88" customFormat="1" x14ac:dyDescent="0.3">
      <c r="B292" s="46" t="str">
        <f>IF(TRIM(G292)&lt;&gt;"",COUNTA($G$57:G292)&amp;"","")</f>
        <v>177</v>
      </c>
      <c r="C292" s="179"/>
      <c r="D292" s="179"/>
      <c r="E292" s="179"/>
      <c r="F292" s="106" t="s">
        <v>131</v>
      </c>
      <c r="G292" s="32">
        <v>1</v>
      </c>
      <c r="H292" s="4">
        <v>1</v>
      </c>
      <c r="I292" s="4" t="s">
        <v>37</v>
      </c>
      <c r="J292" s="160"/>
      <c r="K292" s="161"/>
      <c r="L292" s="161"/>
      <c r="M292" s="158"/>
      <c r="N292" s="119"/>
      <c r="O292" s="119"/>
      <c r="P292" s="52"/>
    </row>
    <row r="293" spans="2:16" s="88" customFormat="1" ht="14.4" thickBot="1" x14ac:dyDescent="0.35">
      <c r="B293" s="46" t="str">
        <f>IF(TRIM(G293)&lt;&gt;"",COUNTA($G$57:G293)&amp;"","")</f>
        <v/>
      </c>
      <c r="C293" s="142"/>
      <c r="D293" s="142"/>
      <c r="E293" s="142"/>
      <c r="F293" s="19" t="s">
        <v>8</v>
      </c>
      <c r="G293" s="38"/>
      <c r="H293" s="27"/>
      <c r="I293" s="27"/>
      <c r="J293" s="40"/>
      <c r="K293" s="40"/>
      <c r="L293" s="21"/>
      <c r="M293" s="71"/>
      <c r="N293" s="40"/>
      <c r="O293" s="21"/>
      <c r="P293" s="53"/>
    </row>
    <row r="294" spans="2:16" s="26" customFormat="1" x14ac:dyDescent="0.3">
      <c r="B294" s="46" t="str">
        <f>IF(TRIM(G294)&lt;&gt;"",COUNTA($G$57:G294)&amp;"","")</f>
        <v/>
      </c>
      <c r="C294" s="142"/>
      <c r="D294" s="142"/>
      <c r="E294" s="142"/>
      <c r="F294" s="87"/>
      <c r="G294" s="125"/>
      <c r="H294" s="126"/>
      <c r="I294" s="126"/>
      <c r="J294" s="127"/>
      <c r="K294" s="127"/>
      <c r="L294" s="110"/>
      <c r="M294" s="135"/>
      <c r="N294" s="127"/>
      <c r="O294" s="110"/>
      <c r="P294" s="136"/>
    </row>
    <row r="295" spans="2:16" s="88" customFormat="1" x14ac:dyDescent="0.3">
      <c r="B295" s="46" t="str">
        <f>IF(TRIM(G295)&lt;&gt;"",COUNTA($G$57:G295)&amp;"","")</f>
        <v/>
      </c>
      <c r="C295" s="142"/>
      <c r="D295" s="142"/>
      <c r="E295" s="142"/>
      <c r="F295" s="87"/>
      <c r="G295" s="32"/>
      <c r="H295" s="4"/>
      <c r="I295" s="4"/>
      <c r="J295" s="6"/>
      <c r="K295" s="6"/>
      <c r="L295" s="96"/>
      <c r="M295" s="146"/>
      <c r="N295" s="6"/>
      <c r="O295" s="96"/>
      <c r="P295" s="147"/>
    </row>
    <row r="296" spans="2:16" s="88" customFormat="1" x14ac:dyDescent="0.3">
      <c r="B296" s="46" t="str">
        <f>IF(TRIM(G296)&lt;&gt;"",COUNTA($G$57:G296)&amp;"","")</f>
        <v/>
      </c>
      <c r="C296" s="91"/>
      <c r="D296" s="91"/>
      <c r="E296" s="141">
        <v>110000</v>
      </c>
      <c r="F296" s="2" t="s">
        <v>72</v>
      </c>
      <c r="G296" s="92"/>
      <c r="H296" s="91"/>
      <c r="I296" s="91"/>
      <c r="J296" s="91"/>
      <c r="K296" s="91"/>
      <c r="L296" s="91"/>
      <c r="M296" s="93"/>
      <c r="N296" s="91"/>
      <c r="O296" s="91"/>
      <c r="P296" s="94"/>
    </row>
    <row r="297" spans="2:16" s="88" customFormat="1" x14ac:dyDescent="0.3">
      <c r="B297" s="46" t="str">
        <f>IF(TRIM(G297)&lt;&gt;"",COUNTA($G$57:G297)&amp;"","")</f>
        <v>178</v>
      </c>
      <c r="C297" s="178" t="s">
        <v>125</v>
      </c>
      <c r="D297" s="178"/>
      <c r="E297" s="178"/>
      <c r="F297" s="106" t="s">
        <v>234</v>
      </c>
      <c r="G297" s="142">
        <v>1</v>
      </c>
      <c r="H297" s="142">
        <v>1</v>
      </c>
      <c r="I297" s="142" t="s">
        <v>37</v>
      </c>
      <c r="J297" s="157"/>
      <c r="K297" s="119"/>
      <c r="L297" s="119"/>
      <c r="M297" s="158"/>
      <c r="N297" s="119"/>
      <c r="O297" s="119"/>
      <c r="P297" s="52"/>
    </row>
    <row r="298" spans="2:16" s="88" customFormat="1" x14ac:dyDescent="0.3">
      <c r="B298" s="46" t="str">
        <f>IF(TRIM(G298)&lt;&gt;"",COUNTA($G$57:G298)&amp;"","")</f>
        <v>179</v>
      </c>
      <c r="C298" s="179"/>
      <c r="D298" s="179"/>
      <c r="E298" s="179"/>
      <c r="F298" s="106" t="s">
        <v>235</v>
      </c>
      <c r="G298" s="142">
        <v>1</v>
      </c>
      <c r="H298" s="142">
        <v>1</v>
      </c>
      <c r="I298" s="142" t="s">
        <v>37</v>
      </c>
      <c r="J298" s="160"/>
      <c r="K298" s="119"/>
      <c r="L298" s="161"/>
      <c r="M298" s="158"/>
      <c r="N298" s="119"/>
      <c r="O298" s="119"/>
      <c r="P298" s="52"/>
    </row>
    <row r="299" spans="2:16" s="88" customFormat="1" x14ac:dyDescent="0.3">
      <c r="B299" s="46" t="str">
        <f>IF(TRIM(G299)&lt;&gt;"",COUNTA($G$57:G299)&amp;"","")</f>
        <v>180</v>
      </c>
      <c r="C299" s="179"/>
      <c r="D299" s="179"/>
      <c r="E299" s="179"/>
      <c r="F299" s="106" t="s">
        <v>73</v>
      </c>
      <c r="G299" s="142">
        <v>1</v>
      </c>
      <c r="H299" s="142">
        <v>1</v>
      </c>
      <c r="I299" s="142" t="s">
        <v>37</v>
      </c>
      <c r="J299" s="157"/>
      <c r="K299" s="119"/>
      <c r="L299" s="119"/>
      <c r="M299" s="158"/>
      <c r="N299" s="119"/>
      <c r="O299" s="119"/>
      <c r="P299" s="52"/>
    </row>
    <row r="300" spans="2:16" s="88" customFormat="1" x14ac:dyDescent="0.3">
      <c r="B300" s="46" t="str">
        <f>IF(TRIM(G300)&lt;&gt;"",COUNTA($G$57:G300)&amp;"","")</f>
        <v>181</v>
      </c>
      <c r="C300" s="179"/>
      <c r="D300" s="179"/>
      <c r="E300" s="179"/>
      <c r="F300" s="106" t="s">
        <v>74</v>
      </c>
      <c r="G300" s="142">
        <v>1</v>
      </c>
      <c r="H300" s="142">
        <v>1</v>
      </c>
      <c r="I300" s="142" t="s">
        <v>37</v>
      </c>
      <c r="J300" s="157"/>
      <c r="K300" s="119"/>
      <c r="L300" s="119"/>
      <c r="M300" s="158"/>
      <c r="N300" s="119"/>
      <c r="O300" s="119"/>
      <c r="P300" s="52"/>
    </row>
    <row r="301" spans="2:16" s="88" customFormat="1" ht="14.4" thickBot="1" x14ac:dyDescent="0.35">
      <c r="B301" s="46" t="str">
        <f>IF(TRIM(G301)&lt;&gt;"",COUNTA($G$57:G301)&amp;"","")</f>
        <v/>
      </c>
      <c r="C301" s="142"/>
      <c r="D301" s="142"/>
      <c r="E301" s="142"/>
      <c r="F301" s="19" t="s">
        <v>8</v>
      </c>
      <c r="G301" s="34"/>
      <c r="H301" s="20"/>
      <c r="I301" s="20"/>
      <c r="J301" s="21"/>
      <c r="K301" s="21"/>
      <c r="L301" s="21"/>
      <c r="M301" s="71"/>
      <c r="N301" s="21"/>
      <c r="O301" s="21"/>
      <c r="P301" s="53"/>
    </row>
    <row r="302" spans="2:16" s="88" customFormat="1" x14ac:dyDescent="0.3">
      <c r="B302" s="46" t="str">
        <f>IF(TRIM(G302)&lt;&gt;"",COUNTA($G$57:G302)&amp;"","")</f>
        <v/>
      </c>
      <c r="C302" s="142"/>
      <c r="D302" s="142"/>
      <c r="E302" s="142"/>
      <c r="G302" s="32"/>
      <c r="H302" s="4"/>
      <c r="I302" s="4"/>
      <c r="J302" s="6"/>
      <c r="K302" s="6"/>
      <c r="L302" s="6"/>
      <c r="M302" s="70"/>
      <c r="N302" s="6"/>
      <c r="O302" s="6"/>
      <c r="P302" s="52"/>
    </row>
    <row r="303" spans="2:16" s="26" customFormat="1" x14ac:dyDescent="0.3">
      <c r="B303" s="46" t="str">
        <f>IF(TRIM(G303)&lt;&gt;"",COUNTA($G$57:G303)&amp;"","")</f>
        <v/>
      </c>
      <c r="C303" s="142"/>
      <c r="D303" s="142"/>
      <c r="E303" s="142"/>
      <c r="F303" s="87"/>
      <c r="G303" s="32"/>
      <c r="H303" s="4"/>
      <c r="I303" s="4"/>
      <c r="J303" s="6"/>
      <c r="K303" s="6"/>
      <c r="L303" s="6"/>
      <c r="M303" s="70"/>
      <c r="N303" s="6"/>
      <c r="O303" s="6"/>
      <c r="P303" s="52"/>
    </row>
    <row r="304" spans="2:16" s="88" customFormat="1" x14ac:dyDescent="0.3">
      <c r="B304" s="90" t="str">
        <f>IF(TRIM(G304)&lt;&gt;"",COUNTA($G$57:G304)&amp;"","")</f>
        <v/>
      </c>
      <c r="C304" s="91"/>
      <c r="D304" s="104"/>
      <c r="E304" s="145">
        <v>120000</v>
      </c>
      <c r="F304" s="2" t="s">
        <v>75</v>
      </c>
      <c r="G304" s="92"/>
      <c r="H304" s="91"/>
      <c r="I304" s="91"/>
      <c r="J304" s="91"/>
      <c r="K304" s="91"/>
      <c r="L304" s="91"/>
      <c r="M304" s="93"/>
      <c r="N304" s="91"/>
      <c r="O304" s="91"/>
      <c r="P304" s="94"/>
    </row>
    <row r="305" spans="2:16" s="88" customFormat="1" x14ac:dyDescent="0.3">
      <c r="B305" s="90" t="str">
        <f>IF(TRIM(G305)&lt;&gt;"",COUNTA($G$57:G305)&amp;"","")</f>
        <v/>
      </c>
      <c r="C305" s="91"/>
      <c r="D305" s="104"/>
      <c r="E305" s="145">
        <v>123661</v>
      </c>
      <c r="F305" s="25" t="s">
        <v>76</v>
      </c>
      <c r="G305" s="92"/>
      <c r="H305" s="91"/>
      <c r="I305" s="91"/>
      <c r="J305" s="91"/>
      <c r="K305" s="91"/>
      <c r="L305" s="91"/>
      <c r="M305" s="93"/>
      <c r="N305" s="91"/>
      <c r="O305" s="91"/>
      <c r="P305" s="94"/>
    </row>
    <row r="306" spans="2:16" s="88" customFormat="1" x14ac:dyDescent="0.3">
      <c r="B306" s="46" t="str">
        <f>IF(TRIM(G306)&lt;&gt;"",COUNTA($G$57:G306)&amp;"","")</f>
        <v>182</v>
      </c>
      <c r="C306" s="178" t="s">
        <v>125</v>
      </c>
      <c r="D306" s="178"/>
      <c r="E306" s="178"/>
      <c r="F306" s="106" t="s">
        <v>132</v>
      </c>
      <c r="G306" s="32">
        <v>12</v>
      </c>
      <c r="H306" s="4">
        <v>10.99</v>
      </c>
      <c r="I306" s="4" t="s">
        <v>38</v>
      </c>
      <c r="J306" s="164"/>
      <c r="K306" s="161"/>
      <c r="L306" s="161"/>
      <c r="M306" s="158"/>
      <c r="N306" s="119"/>
      <c r="O306" s="119"/>
      <c r="P306" s="52"/>
    </row>
    <row r="307" spans="2:16" s="88" customFormat="1" x14ac:dyDescent="0.3">
      <c r="B307" s="46" t="str">
        <f>IF(TRIM(G307)&lt;&gt;"",COUNTA($G$57:G307)&amp;"","")</f>
        <v>183</v>
      </c>
      <c r="C307" s="179"/>
      <c r="D307" s="179"/>
      <c r="E307" s="179"/>
      <c r="F307" s="106" t="s">
        <v>133</v>
      </c>
      <c r="G307" s="32">
        <v>38</v>
      </c>
      <c r="H307" s="4">
        <v>37.94</v>
      </c>
      <c r="I307" s="4" t="s">
        <v>38</v>
      </c>
      <c r="J307" s="164"/>
      <c r="K307" s="161"/>
      <c r="L307" s="161"/>
      <c r="M307" s="158"/>
      <c r="N307" s="119"/>
      <c r="O307" s="119"/>
      <c r="P307" s="52"/>
    </row>
    <row r="308" spans="2:16" s="88" customFormat="1" ht="14.4" thickBot="1" x14ac:dyDescent="0.35">
      <c r="B308" s="148" t="str">
        <f>IF(TRIM(G308)&lt;&gt;"",COUNTA($G$57:G308)&amp;"","")</f>
        <v/>
      </c>
      <c r="C308" s="137"/>
      <c r="D308" s="137"/>
      <c r="E308" s="140"/>
      <c r="F308" s="19" t="s">
        <v>8</v>
      </c>
      <c r="G308" s="38"/>
      <c r="H308" s="27"/>
      <c r="I308" s="27"/>
      <c r="J308" s="40"/>
      <c r="K308" s="167"/>
      <c r="L308" s="168"/>
      <c r="M308" s="169"/>
      <c r="N308" s="167"/>
      <c r="O308" s="168"/>
      <c r="P308" s="53"/>
    </row>
    <row r="309" spans="2:16" s="88" customFormat="1" x14ac:dyDescent="0.3">
      <c r="B309" s="89" t="str">
        <f>IF(TRIM(G309)&lt;&gt;"",COUNTA($G$57:G309)&amp;"","")</f>
        <v/>
      </c>
      <c r="C309" s="142"/>
      <c r="D309" s="142"/>
      <c r="E309" s="142"/>
      <c r="F309" s="19"/>
      <c r="G309" s="125"/>
      <c r="H309" s="126"/>
      <c r="I309" s="126"/>
      <c r="J309" s="127"/>
      <c r="K309" s="127"/>
      <c r="L309" s="129"/>
      <c r="M309" s="130"/>
      <c r="N309" s="127"/>
      <c r="O309" s="129"/>
      <c r="P309" s="131"/>
    </row>
    <row r="310" spans="2:16" s="88" customFormat="1" x14ac:dyDescent="0.3">
      <c r="B310" s="89" t="str">
        <f>IF(TRIM(G310)&lt;&gt;"",COUNTA($G$57:G310)&amp;"","")</f>
        <v/>
      </c>
      <c r="C310" s="142"/>
      <c r="D310" s="142"/>
      <c r="E310" s="142"/>
      <c r="F310" s="19"/>
      <c r="G310" s="32"/>
      <c r="H310" s="4"/>
      <c r="I310" s="4"/>
      <c r="J310" s="6"/>
      <c r="K310" s="6"/>
      <c r="L310" s="132"/>
      <c r="M310" s="133"/>
      <c r="N310" s="6"/>
      <c r="O310" s="132"/>
      <c r="P310" s="134"/>
    </row>
    <row r="311" spans="2:16" s="88" customFormat="1" ht="27.6" x14ac:dyDescent="0.3">
      <c r="B311" s="90" t="str">
        <f>IF(TRIM(G311)&lt;&gt;"",COUNTA($G$57:G311)&amp;"","")</f>
        <v/>
      </c>
      <c r="C311" s="91"/>
      <c r="D311" s="104"/>
      <c r="E311" s="145">
        <v>150000</v>
      </c>
      <c r="F311" s="2" t="s">
        <v>77</v>
      </c>
      <c r="G311" s="92"/>
      <c r="H311" s="91"/>
      <c r="I311" s="91"/>
      <c r="J311" s="91"/>
      <c r="K311" s="91"/>
      <c r="L311" s="91"/>
      <c r="M311" s="93"/>
      <c r="N311" s="91"/>
      <c r="O311" s="91"/>
      <c r="P311" s="94"/>
    </row>
    <row r="312" spans="2:16" s="88" customFormat="1" x14ac:dyDescent="0.3">
      <c r="B312" s="46" t="str">
        <f>IF(TRIM(G312)&lt;&gt;"",COUNTA($G$57:G312)&amp;"","")</f>
        <v>184</v>
      </c>
      <c r="C312" s="137"/>
      <c r="D312" s="137"/>
      <c r="E312" s="137"/>
      <c r="F312" s="87" t="s">
        <v>236</v>
      </c>
      <c r="G312" s="142">
        <v>1</v>
      </c>
      <c r="H312" s="142">
        <v>1</v>
      </c>
      <c r="I312" s="142" t="s">
        <v>37</v>
      </c>
      <c r="J312" s="157"/>
      <c r="K312" s="119"/>
      <c r="L312" s="119"/>
      <c r="M312" s="158"/>
      <c r="N312" s="119"/>
      <c r="O312" s="119"/>
      <c r="P312" s="52"/>
    </row>
    <row r="313" spans="2:16" s="88" customFormat="1" x14ac:dyDescent="0.3">
      <c r="B313" s="46" t="str">
        <f>IF(TRIM(G313)&lt;&gt;"",COUNTA($G$57:G313)&amp;"","")</f>
        <v>185</v>
      </c>
      <c r="C313" s="138"/>
      <c r="D313" s="138"/>
      <c r="E313" s="138"/>
      <c r="F313" s="87" t="s">
        <v>237</v>
      </c>
      <c r="G313" s="142">
        <v>1</v>
      </c>
      <c r="H313" s="142">
        <v>1</v>
      </c>
      <c r="I313" s="142" t="s">
        <v>37</v>
      </c>
      <c r="J313" s="157"/>
      <c r="K313" s="119"/>
      <c r="L313" s="119"/>
      <c r="M313" s="158"/>
      <c r="N313" s="119"/>
      <c r="O313" s="119"/>
      <c r="P313" s="52"/>
    </row>
    <row r="314" spans="2:16" s="88" customFormat="1" x14ac:dyDescent="0.3">
      <c r="B314" s="46" t="str">
        <f>IF(TRIM(G314)&lt;&gt;"",COUNTA($G$57:G314)&amp;"","")</f>
        <v>186</v>
      </c>
      <c r="C314" s="138"/>
      <c r="D314" s="138"/>
      <c r="E314" s="138"/>
      <c r="F314" s="87" t="s">
        <v>238</v>
      </c>
      <c r="G314" s="142">
        <v>1</v>
      </c>
      <c r="H314" s="142">
        <v>1</v>
      </c>
      <c r="I314" s="142" t="s">
        <v>37</v>
      </c>
      <c r="J314" s="160"/>
      <c r="K314" s="161"/>
      <c r="L314" s="161"/>
      <c r="M314" s="158"/>
      <c r="N314" s="119"/>
      <c r="O314" s="119"/>
      <c r="P314" s="52"/>
    </row>
    <row r="315" spans="2:16" s="88" customFormat="1" x14ac:dyDescent="0.3">
      <c r="B315" s="46" t="str">
        <f>IF(TRIM(G315)&lt;&gt;"",COUNTA($G$57:G315)&amp;"","")</f>
        <v>187</v>
      </c>
      <c r="C315" s="138"/>
      <c r="D315" s="138"/>
      <c r="E315" s="138"/>
      <c r="F315" s="87" t="s">
        <v>239</v>
      </c>
      <c r="G315" s="4">
        <v>2</v>
      </c>
      <c r="H315" s="4"/>
      <c r="I315" s="142" t="s">
        <v>37</v>
      </c>
      <c r="J315" s="157"/>
      <c r="K315" s="119"/>
      <c r="L315" s="119"/>
      <c r="M315" s="158"/>
      <c r="N315" s="119"/>
      <c r="O315" s="119"/>
      <c r="P315" s="52"/>
    </row>
    <row r="316" spans="2:16" s="88" customFormat="1" x14ac:dyDescent="0.3">
      <c r="B316" s="46" t="str">
        <f>IF(TRIM(G316)&lt;&gt;"",COUNTA($G$57:G316)&amp;"","")</f>
        <v>188</v>
      </c>
      <c r="C316" s="138"/>
      <c r="D316" s="138"/>
      <c r="E316" s="138"/>
      <c r="F316" s="172" t="s">
        <v>240</v>
      </c>
      <c r="G316" s="4">
        <v>30</v>
      </c>
      <c r="H316" s="4"/>
      <c r="I316" s="170" t="s">
        <v>36</v>
      </c>
      <c r="J316" s="157"/>
      <c r="K316" s="119"/>
      <c r="L316" s="119"/>
      <c r="M316" s="158"/>
      <c r="N316" s="119"/>
      <c r="O316" s="119"/>
      <c r="P316" s="52"/>
    </row>
    <row r="317" spans="2:16" s="88" customFormat="1" ht="14.4" thickBot="1" x14ac:dyDescent="0.35">
      <c r="B317" s="46" t="str">
        <f>IF(TRIM(G317)&lt;&gt;"",COUNTA($G$57:G317)&amp;"","")</f>
        <v/>
      </c>
      <c r="C317" s="142"/>
      <c r="D317" s="142"/>
      <c r="E317" s="142"/>
      <c r="F317" s="19" t="s">
        <v>8</v>
      </c>
      <c r="G317" s="38"/>
      <c r="H317" s="27"/>
      <c r="I317" s="27"/>
      <c r="J317" s="40"/>
      <c r="K317" s="40"/>
      <c r="L317" s="21"/>
      <c r="M317" s="71"/>
      <c r="N317" s="40"/>
      <c r="O317" s="21"/>
      <c r="P317" s="53"/>
    </row>
    <row r="318" spans="2:16" s="88" customFormat="1" x14ac:dyDescent="0.3">
      <c r="B318" s="46" t="str">
        <f>IF(TRIM(G318)&lt;&gt;"",COUNTA($G$57:G318)&amp;"","")</f>
        <v/>
      </c>
      <c r="C318" s="142"/>
      <c r="D318" s="142"/>
      <c r="E318" s="142"/>
      <c r="F318" s="87"/>
      <c r="G318" s="125"/>
      <c r="H318" s="126"/>
      <c r="I318" s="126"/>
      <c r="J318" s="127"/>
      <c r="K318" s="127"/>
      <c r="L318" s="129"/>
      <c r="M318" s="130"/>
      <c r="N318" s="127"/>
      <c r="O318" s="129"/>
      <c r="P318" s="131"/>
    </row>
    <row r="319" spans="2:16" s="88" customFormat="1" x14ac:dyDescent="0.3">
      <c r="B319" s="46" t="str">
        <f>IF(TRIM(G319)&lt;&gt;"",COUNTA($G$57:G319)&amp;"","")</f>
        <v/>
      </c>
      <c r="C319" s="142"/>
      <c r="D319" s="142"/>
      <c r="E319" s="142"/>
      <c r="F319" s="87"/>
      <c r="G319" s="32"/>
      <c r="H319" s="4"/>
      <c r="I319" s="4"/>
      <c r="J319" s="6"/>
      <c r="K319" s="6"/>
      <c r="L319" s="132"/>
      <c r="M319" s="133"/>
      <c r="N319" s="6"/>
      <c r="O319" s="132"/>
      <c r="P319" s="134"/>
    </row>
    <row r="320" spans="2:16" s="88" customFormat="1" x14ac:dyDescent="0.3">
      <c r="B320" s="90" t="str">
        <f>IF(TRIM(G320)&lt;&gt;"",COUNTA($G$57:G320)&amp;"","")</f>
        <v/>
      </c>
      <c r="C320" s="91"/>
      <c r="D320" s="104"/>
      <c r="E320" s="145">
        <v>150000</v>
      </c>
      <c r="F320" s="2" t="s">
        <v>78</v>
      </c>
      <c r="G320" s="92"/>
      <c r="H320" s="91"/>
      <c r="I320" s="91"/>
      <c r="J320" s="91"/>
      <c r="K320" s="91"/>
      <c r="L320" s="91"/>
      <c r="M320" s="93"/>
      <c r="N320" s="91"/>
      <c r="O320" s="91"/>
      <c r="P320" s="94"/>
    </row>
    <row r="321" spans="2:16" s="88" customFormat="1" x14ac:dyDescent="0.3">
      <c r="B321" s="46" t="str">
        <f>IF(TRIM(G321)&lt;&gt;"",COUNTA($G$57:G321)&amp;"","")</f>
        <v>189</v>
      </c>
      <c r="C321" s="176"/>
      <c r="D321" s="176"/>
      <c r="E321" s="176"/>
      <c r="F321" s="87" t="s">
        <v>241</v>
      </c>
      <c r="G321" s="142">
        <v>1</v>
      </c>
      <c r="H321" s="142">
        <v>1</v>
      </c>
      <c r="I321" s="142" t="s">
        <v>37</v>
      </c>
      <c r="J321" s="157"/>
      <c r="K321" s="119"/>
      <c r="L321" s="119"/>
      <c r="M321" s="120"/>
      <c r="N321" s="119"/>
      <c r="O321" s="119"/>
      <c r="P321" s="52"/>
    </row>
    <row r="322" spans="2:16" s="88" customFormat="1" x14ac:dyDescent="0.3">
      <c r="B322" s="46" t="str">
        <f>IF(TRIM(G322)&lt;&gt;"",COUNTA($G$57:G322)&amp;"","")</f>
        <v>190</v>
      </c>
      <c r="C322" s="176"/>
      <c r="D322" s="176"/>
      <c r="E322" s="176"/>
      <c r="F322" s="87" t="s">
        <v>242</v>
      </c>
      <c r="G322" s="142">
        <v>1</v>
      </c>
      <c r="H322" s="142">
        <v>1</v>
      </c>
      <c r="I322" s="142" t="s">
        <v>37</v>
      </c>
      <c r="J322" s="157"/>
      <c r="K322" s="119"/>
      <c r="L322" s="119"/>
      <c r="M322" s="120"/>
      <c r="N322" s="119"/>
      <c r="O322" s="119"/>
      <c r="P322" s="52"/>
    </row>
    <row r="323" spans="2:16" s="88" customFormat="1" x14ac:dyDescent="0.3">
      <c r="B323" s="46" t="str">
        <f>IF(TRIM(G323)&lt;&gt;"",COUNTA($G$57:G323)&amp;"","")</f>
        <v>191</v>
      </c>
      <c r="C323" s="176"/>
      <c r="D323" s="176"/>
      <c r="E323" s="176"/>
      <c r="F323" s="87" t="s">
        <v>243</v>
      </c>
      <c r="G323" s="142">
        <v>2</v>
      </c>
      <c r="H323" s="142">
        <v>2</v>
      </c>
      <c r="I323" s="142" t="s">
        <v>37</v>
      </c>
      <c r="J323" s="157"/>
      <c r="K323" s="119"/>
      <c r="L323" s="119"/>
      <c r="M323" s="120"/>
      <c r="N323" s="119"/>
      <c r="O323" s="119"/>
      <c r="P323" s="52"/>
    </row>
    <row r="324" spans="2:16" s="88" customFormat="1" x14ac:dyDescent="0.3">
      <c r="B324" s="46" t="str">
        <f>IF(TRIM(G324)&lt;&gt;"",COUNTA($G$57:G324)&amp;"","")</f>
        <v>192</v>
      </c>
      <c r="C324" s="176"/>
      <c r="D324" s="176"/>
      <c r="E324" s="176"/>
      <c r="F324" s="87" t="s">
        <v>244</v>
      </c>
      <c r="G324" s="142">
        <v>1</v>
      </c>
      <c r="H324" s="142">
        <v>1</v>
      </c>
      <c r="I324" s="142" t="s">
        <v>37</v>
      </c>
      <c r="J324" s="157"/>
      <c r="K324" s="119"/>
      <c r="L324" s="119"/>
      <c r="M324" s="158"/>
      <c r="N324" s="119"/>
      <c r="O324" s="119"/>
      <c r="P324" s="52"/>
    </row>
    <row r="325" spans="2:16" s="88" customFormat="1" x14ac:dyDescent="0.3">
      <c r="B325" s="46" t="str">
        <f>IF(TRIM(G325)&lt;&gt;"",COUNTA($G$57:G325)&amp;"","")</f>
        <v>193</v>
      </c>
      <c r="C325" s="176"/>
      <c r="D325" s="176"/>
      <c r="E325" s="176"/>
      <c r="F325" s="87" t="s">
        <v>245</v>
      </c>
      <c r="G325" s="32">
        <v>1</v>
      </c>
      <c r="H325" s="4">
        <v>1</v>
      </c>
      <c r="I325" s="4" t="s">
        <v>37</v>
      </c>
      <c r="J325" s="157"/>
      <c r="K325" s="119"/>
      <c r="L325" s="119"/>
      <c r="M325" s="120"/>
      <c r="N325" s="119"/>
      <c r="O325" s="119"/>
      <c r="P325" s="52"/>
    </row>
    <row r="326" spans="2:16" s="88" customFormat="1" x14ac:dyDescent="0.3">
      <c r="B326" s="46" t="str">
        <f>IF(TRIM(G326)&lt;&gt;"",COUNTA($G$57:G326)&amp;"","")</f>
        <v>194</v>
      </c>
      <c r="C326" s="176"/>
      <c r="D326" s="176"/>
      <c r="E326" s="176"/>
      <c r="F326" s="87" t="s">
        <v>246</v>
      </c>
      <c r="G326" s="32">
        <v>3</v>
      </c>
      <c r="H326" s="4">
        <v>3</v>
      </c>
      <c r="I326" s="4" t="s">
        <v>37</v>
      </c>
      <c r="J326" s="157"/>
      <c r="K326" s="119"/>
      <c r="L326" s="119"/>
      <c r="M326" s="120"/>
      <c r="N326" s="119"/>
      <c r="O326" s="119"/>
      <c r="P326" s="52"/>
    </row>
    <row r="327" spans="2:16" s="88" customFormat="1" x14ac:dyDescent="0.3">
      <c r="B327" s="46" t="str">
        <f>IF(TRIM(G327)&lt;&gt;"",COUNTA($G$57:G327)&amp;"","")</f>
        <v>195</v>
      </c>
      <c r="C327" s="176"/>
      <c r="D327" s="176"/>
      <c r="E327" s="176"/>
      <c r="F327" s="87" t="s">
        <v>247</v>
      </c>
      <c r="G327" s="32">
        <v>2</v>
      </c>
      <c r="H327" s="4">
        <v>4</v>
      </c>
      <c r="I327" s="4" t="s">
        <v>37</v>
      </c>
      <c r="J327" s="157"/>
      <c r="K327" s="119"/>
      <c r="L327" s="119"/>
      <c r="M327" s="120"/>
      <c r="N327" s="119"/>
      <c r="O327" s="119"/>
      <c r="P327" s="52"/>
    </row>
    <row r="328" spans="2:16" s="88" customFormat="1" x14ac:dyDescent="0.3">
      <c r="B328" s="46" t="str">
        <f>IF(TRIM(G328)&lt;&gt;"",COUNTA($G$57:G328)&amp;"","")</f>
        <v>196</v>
      </c>
      <c r="C328" s="176"/>
      <c r="D328" s="176"/>
      <c r="E328" s="176"/>
      <c r="F328" s="87" t="s">
        <v>79</v>
      </c>
      <c r="G328" s="149">
        <v>10</v>
      </c>
      <c r="H328" s="5">
        <v>31</v>
      </c>
      <c r="I328" s="4" t="s">
        <v>37</v>
      </c>
      <c r="J328" s="157"/>
      <c r="K328" s="119"/>
      <c r="L328" s="119"/>
      <c r="M328" s="120"/>
      <c r="N328" s="119"/>
      <c r="O328" s="119"/>
      <c r="P328" s="52"/>
    </row>
    <row r="329" spans="2:16" s="88" customFormat="1" ht="27.6" x14ac:dyDescent="0.3">
      <c r="B329" s="46" t="str">
        <f>IF(TRIM(G329)&lt;&gt;"",COUNTA($G$57:G329)&amp;"","")</f>
        <v/>
      </c>
      <c r="C329" s="175"/>
      <c r="D329" s="175"/>
      <c r="E329" s="175"/>
      <c r="F329" s="28" t="s">
        <v>80</v>
      </c>
      <c r="G329" s="149"/>
      <c r="H329" s="5"/>
      <c r="I329" s="5"/>
      <c r="J329" s="18"/>
      <c r="K329" s="18"/>
      <c r="L329" s="128"/>
      <c r="M329" s="122"/>
      <c r="N329" s="18"/>
      <c r="O329" s="128"/>
      <c r="P329" s="123"/>
    </row>
    <row r="330" spans="2:16" s="88" customFormat="1" x14ac:dyDescent="0.3">
      <c r="B330" s="46" t="str">
        <f>IF(TRIM(G330)&lt;&gt;"",COUNTA($G$57:G330)&amp;"","")</f>
        <v>197</v>
      </c>
      <c r="C330" s="176"/>
      <c r="D330" s="176"/>
      <c r="E330" s="176"/>
      <c r="F330" s="87" t="s">
        <v>248</v>
      </c>
      <c r="G330" s="149">
        <v>35</v>
      </c>
      <c r="H330" s="5">
        <f>5*7</f>
        <v>35</v>
      </c>
      <c r="I330" s="5" t="s">
        <v>36</v>
      </c>
      <c r="J330" s="157"/>
      <c r="K330" s="119"/>
      <c r="L330" s="119"/>
      <c r="M330" s="158"/>
      <c r="N330" s="119"/>
      <c r="O330" s="119"/>
      <c r="P330" s="52"/>
    </row>
    <row r="331" spans="2:16" s="88" customFormat="1" x14ac:dyDescent="0.3">
      <c r="B331" s="46" t="str">
        <f>IF(TRIM(G331)&lt;&gt;"",COUNTA($G$57:G331)&amp;"","")</f>
        <v>198</v>
      </c>
      <c r="C331" s="176"/>
      <c r="D331" s="176"/>
      <c r="E331" s="176"/>
      <c r="F331" s="87" t="s">
        <v>249</v>
      </c>
      <c r="G331" s="149">
        <v>28</v>
      </c>
      <c r="H331" s="5">
        <f>4*7</f>
        <v>28</v>
      </c>
      <c r="I331" s="5" t="s">
        <v>36</v>
      </c>
      <c r="J331" s="157"/>
      <c r="K331" s="119"/>
      <c r="L331" s="119"/>
      <c r="M331" s="158"/>
      <c r="N331" s="119"/>
      <c r="O331" s="119"/>
      <c r="P331" s="52"/>
    </row>
    <row r="332" spans="2:16" s="88" customFormat="1" x14ac:dyDescent="0.3">
      <c r="B332" s="46" t="str">
        <f>IF(TRIM(G332)&lt;&gt;"",COUNTA($G$57:G332)&amp;"","")</f>
        <v>199</v>
      </c>
      <c r="C332" s="176"/>
      <c r="D332" s="176"/>
      <c r="E332" s="176"/>
      <c r="F332" s="87" t="s">
        <v>250</v>
      </c>
      <c r="G332" s="149">
        <v>20</v>
      </c>
      <c r="H332" s="5"/>
      <c r="I332" s="5" t="s">
        <v>36</v>
      </c>
      <c r="J332" s="157"/>
      <c r="K332" s="119"/>
      <c r="L332" s="119"/>
      <c r="M332" s="158"/>
      <c r="N332" s="119"/>
      <c r="O332" s="119"/>
      <c r="P332" s="52"/>
    </row>
    <row r="333" spans="2:16" s="88" customFormat="1" x14ac:dyDescent="0.3">
      <c r="B333" s="46" t="str">
        <f>IF(TRIM(G333)&lt;&gt;"",COUNTA($G$57:G333)&amp;"","")</f>
        <v>200</v>
      </c>
      <c r="C333" s="176"/>
      <c r="D333" s="176"/>
      <c r="E333" s="176"/>
      <c r="F333" s="87" t="s">
        <v>251</v>
      </c>
      <c r="G333" s="149">
        <v>20</v>
      </c>
      <c r="H333" s="5"/>
      <c r="I333" s="5" t="s">
        <v>36</v>
      </c>
      <c r="J333" s="157"/>
      <c r="K333" s="119"/>
      <c r="L333" s="119"/>
      <c r="M333" s="158"/>
      <c r="N333" s="119"/>
      <c r="O333" s="119"/>
      <c r="P333" s="52"/>
    </row>
    <row r="334" spans="2:16" s="88" customFormat="1" ht="27.6" x14ac:dyDescent="0.3">
      <c r="B334" s="46" t="str">
        <f>IF(TRIM(G334)&lt;&gt;"",COUNTA($G$57:G334)&amp;"","")</f>
        <v/>
      </c>
      <c r="C334" s="175"/>
      <c r="D334" s="175"/>
      <c r="E334" s="175"/>
      <c r="F334" s="28" t="s">
        <v>252</v>
      </c>
      <c r="G334" s="149"/>
      <c r="H334" s="5"/>
      <c r="I334" s="5"/>
      <c r="J334" s="18"/>
      <c r="K334" s="18"/>
      <c r="L334" s="128"/>
      <c r="M334" s="122"/>
      <c r="N334" s="18"/>
      <c r="O334" s="128"/>
      <c r="P334" s="123"/>
    </row>
    <row r="335" spans="2:16" s="88" customFormat="1" x14ac:dyDescent="0.3">
      <c r="B335" s="46" t="str">
        <f>IF(TRIM(G335)&lt;&gt;"",COUNTA($G$57:G335)&amp;"","")</f>
        <v>201</v>
      </c>
      <c r="C335" s="176"/>
      <c r="D335" s="176"/>
      <c r="E335" s="176"/>
      <c r="F335" s="87" t="s">
        <v>253</v>
      </c>
      <c r="G335" s="149">
        <v>25</v>
      </c>
      <c r="H335" s="5">
        <f>5*4</f>
        <v>20</v>
      </c>
      <c r="I335" s="5" t="s">
        <v>36</v>
      </c>
      <c r="J335" s="157"/>
      <c r="K335" s="119"/>
      <c r="L335" s="119"/>
      <c r="M335" s="158"/>
      <c r="N335" s="119"/>
      <c r="O335" s="119"/>
      <c r="P335" s="52"/>
    </row>
    <row r="336" spans="2:16" s="88" customFormat="1" x14ac:dyDescent="0.3">
      <c r="B336" s="46" t="str">
        <f>IF(TRIM(G336)&lt;&gt;"",COUNTA($G$57:G336)&amp;"","")</f>
        <v>202</v>
      </c>
      <c r="C336" s="176"/>
      <c r="D336" s="176"/>
      <c r="E336" s="176"/>
      <c r="F336" s="87" t="s">
        <v>254</v>
      </c>
      <c r="G336" s="149">
        <v>35</v>
      </c>
      <c r="H336" s="5"/>
      <c r="I336" s="5" t="s">
        <v>36</v>
      </c>
      <c r="J336" s="157"/>
      <c r="K336" s="119"/>
      <c r="L336" s="119"/>
      <c r="M336" s="158"/>
      <c r="N336" s="119"/>
      <c r="O336" s="119"/>
      <c r="P336" s="52"/>
    </row>
    <row r="337" spans="2:16" s="88" customFormat="1" x14ac:dyDescent="0.3">
      <c r="B337" s="46" t="str">
        <f>IF(TRIM(G337)&lt;&gt;"",COUNTA($G$57:G337)&amp;"","")</f>
        <v>203</v>
      </c>
      <c r="C337" s="176"/>
      <c r="D337" s="176"/>
      <c r="E337" s="176"/>
      <c r="F337" s="87" t="s">
        <v>255</v>
      </c>
      <c r="G337" s="149">
        <v>10</v>
      </c>
      <c r="H337" s="5"/>
      <c r="I337" s="5" t="s">
        <v>36</v>
      </c>
      <c r="J337" s="157"/>
      <c r="K337" s="119"/>
      <c r="L337" s="119"/>
      <c r="M337" s="158"/>
      <c r="N337" s="119"/>
      <c r="O337" s="119"/>
      <c r="P337" s="52"/>
    </row>
    <row r="338" spans="2:16" s="88" customFormat="1" x14ac:dyDescent="0.3">
      <c r="B338" s="46" t="str">
        <f>IF(TRIM(G338)&lt;&gt;"",COUNTA($G$57:G338)&amp;"","")</f>
        <v>204</v>
      </c>
      <c r="C338" s="176"/>
      <c r="D338" s="176"/>
      <c r="E338" s="176"/>
      <c r="F338" s="87" t="s">
        <v>256</v>
      </c>
      <c r="G338" s="149">
        <v>15</v>
      </c>
      <c r="H338" s="5"/>
      <c r="I338" s="5" t="s">
        <v>36</v>
      </c>
      <c r="J338" s="157"/>
      <c r="K338" s="119"/>
      <c r="L338" s="119"/>
      <c r="M338" s="158"/>
      <c r="N338" s="119"/>
      <c r="O338" s="119"/>
      <c r="P338" s="52"/>
    </row>
    <row r="339" spans="2:16" s="88" customFormat="1" x14ac:dyDescent="0.3">
      <c r="B339" s="46" t="str">
        <f>IF(TRIM(G339)&lt;&gt;"",COUNTA($G$57:G339)&amp;"","")</f>
        <v>205</v>
      </c>
      <c r="C339" s="183"/>
      <c r="D339" s="183"/>
      <c r="E339" s="183"/>
      <c r="F339" s="87" t="s">
        <v>257</v>
      </c>
      <c r="G339" s="149">
        <v>21</v>
      </c>
      <c r="H339" s="5"/>
      <c r="I339" s="5" t="s">
        <v>36</v>
      </c>
      <c r="J339" s="157"/>
      <c r="K339" s="119"/>
      <c r="L339" s="119"/>
      <c r="M339" s="158"/>
      <c r="N339" s="119"/>
      <c r="O339" s="119"/>
      <c r="P339" s="52"/>
    </row>
    <row r="340" spans="2:16" s="88" customFormat="1" ht="14.4" thickBot="1" x14ac:dyDescent="0.35">
      <c r="B340" s="46" t="str">
        <f>IF(TRIM(G340)&lt;&gt;"",COUNTA($G$57:G340)&amp;"","")</f>
        <v/>
      </c>
      <c r="C340" s="142"/>
      <c r="D340" s="142"/>
      <c r="E340" s="142"/>
      <c r="F340" s="19" t="s">
        <v>8</v>
      </c>
      <c r="G340" s="38"/>
      <c r="H340" s="27"/>
      <c r="I340" s="27"/>
      <c r="J340" s="40"/>
      <c r="K340" s="40"/>
      <c r="L340" s="21"/>
      <c r="M340" s="71"/>
      <c r="N340" s="40"/>
      <c r="O340" s="21"/>
      <c r="P340" s="53"/>
    </row>
    <row r="341" spans="2:16" s="88" customFormat="1" x14ac:dyDescent="0.3">
      <c r="B341" s="46" t="str">
        <f>IF(TRIM(G341)&lt;&gt;"",COUNTA($G$57:G341)&amp;"","")</f>
        <v/>
      </c>
      <c r="C341" s="142"/>
      <c r="D341" s="142"/>
      <c r="E341" s="142"/>
      <c r="F341" s="19"/>
      <c r="G341" s="125"/>
      <c r="H341" s="126"/>
      <c r="I341" s="126"/>
      <c r="J341" s="127"/>
      <c r="K341" s="127"/>
      <c r="L341" s="129"/>
      <c r="M341" s="130"/>
      <c r="N341" s="127"/>
      <c r="O341" s="129"/>
      <c r="P341" s="131"/>
    </row>
    <row r="342" spans="2:16" s="88" customFormat="1" x14ac:dyDescent="0.3">
      <c r="B342" s="46" t="str">
        <f>IF(TRIM(G342)&lt;&gt;"",COUNTA($G$57:G342)&amp;"","")</f>
        <v/>
      </c>
      <c r="C342" s="142"/>
      <c r="D342" s="142"/>
      <c r="E342" s="142"/>
      <c r="F342" s="87"/>
      <c r="G342" s="32"/>
      <c r="H342" s="4"/>
      <c r="I342" s="4"/>
      <c r="J342" s="6"/>
      <c r="K342" s="6"/>
      <c r="L342" s="96"/>
      <c r="M342" s="113"/>
      <c r="N342" s="6"/>
      <c r="O342" s="96"/>
      <c r="P342" s="114"/>
    </row>
    <row r="343" spans="2:16" s="88" customFormat="1" x14ac:dyDescent="0.3">
      <c r="B343" s="90" t="str">
        <f>IF(TRIM(G343)&lt;&gt;"",COUNTA($G$57:G343)&amp;"","")</f>
        <v/>
      </c>
      <c r="C343" s="91"/>
      <c r="D343" s="104"/>
      <c r="E343" s="145">
        <v>160000</v>
      </c>
      <c r="F343" s="2" t="s">
        <v>81</v>
      </c>
      <c r="G343" s="92"/>
      <c r="H343" s="91"/>
      <c r="I343" s="91"/>
      <c r="J343" s="91"/>
      <c r="K343" s="91"/>
      <c r="L343" s="91"/>
      <c r="M343" s="93"/>
      <c r="N343" s="91"/>
      <c r="O343" s="91"/>
      <c r="P343" s="94"/>
    </row>
    <row r="344" spans="2:16" s="88" customFormat="1" x14ac:dyDescent="0.3">
      <c r="B344" s="46" t="str">
        <f>IF(TRIM(G344)&lt;&gt;"",COUNTA($G$57:G344)&amp;"","")</f>
        <v>206</v>
      </c>
      <c r="C344" s="150"/>
      <c r="D344" s="150"/>
      <c r="E344" s="150"/>
      <c r="F344" s="87" t="s">
        <v>258</v>
      </c>
      <c r="G344" s="5">
        <v>12</v>
      </c>
      <c r="H344" s="5">
        <v>12</v>
      </c>
      <c r="I344" s="5" t="s">
        <v>37</v>
      </c>
      <c r="J344" s="157"/>
      <c r="K344" s="119"/>
      <c r="L344" s="119"/>
      <c r="M344" s="158"/>
      <c r="N344" s="119"/>
      <c r="O344" s="119"/>
      <c r="P344" s="52"/>
    </row>
    <row r="345" spans="2:16" s="88" customFormat="1" x14ac:dyDescent="0.3">
      <c r="B345" s="46" t="str">
        <f>IF(TRIM(G345)&lt;&gt;"",COUNTA($G$57:G345)&amp;"","")</f>
        <v>207</v>
      </c>
      <c r="C345" s="151"/>
      <c r="D345" s="151"/>
      <c r="E345" s="151"/>
      <c r="F345" s="87" t="s">
        <v>259</v>
      </c>
      <c r="G345" s="5">
        <v>2</v>
      </c>
      <c r="H345" s="5">
        <v>2</v>
      </c>
      <c r="I345" s="5" t="s">
        <v>37</v>
      </c>
      <c r="J345" s="157"/>
      <c r="K345" s="119"/>
      <c r="L345" s="119"/>
      <c r="M345" s="158"/>
      <c r="N345" s="119"/>
      <c r="O345" s="119"/>
      <c r="P345" s="52"/>
    </row>
    <row r="346" spans="2:16" s="88" customFormat="1" x14ac:dyDescent="0.3">
      <c r="B346" s="46" t="str">
        <f>IF(TRIM(G346)&lt;&gt;"",COUNTA($G$57:G346)&amp;"","")</f>
        <v>208</v>
      </c>
      <c r="C346" s="151"/>
      <c r="D346" s="151"/>
      <c r="E346" s="151"/>
      <c r="F346" s="87" t="s">
        <v>260</v>
      </c>
      <c r="G346" s="5">
        <v>1</v>
      </c>
      <c r="H346" s="5">
        <v>1</v>
      </c>
      <c r="I346" s="5" t="s">
        <v>37</v>
      </c>
      <c r="J346" s="157"/>
      <c r="K346" s="119"/>
      <c r="L346" s="119"/>
      <c r="M346" s="158"/>
      <c r="N346" s="119"/>
      <c r="O346" s="119"/>
      <c r="P346" s="52"/>
    </row>
    <row r="347" spans="2:16" s="88" customFormat="1" x14ac:dyDescent="0.3">
      <c r="B347" s="46" t="str">
        <f>IF(TRIM(G347)&lt;&gt;"",COUNTA($G$57:G347)&amp;"","")</f>
        <v>209</v>
      </c>
      <c r="C347" s="151"/>
      <c r="D347" s="151"/>
      <c r="E347" s="151"/>
      <c r="F347" s="87" t="s">
        <v>261</v>
      </c>
      <c r="G347" s="5">
        <v>2</v>
      </c>
      <c r="H347" s="5">
        <v>2</v>
      </c>
      <c r="I347" s="5" t="s">
        <v>37</v>
      </c>
      <c r="J347" s="157"/>
      <c r="K347" s="119"/>
      <c r="L347" s="119"/>
      <c r="M347" s="158"/>
      <c r="N347" s="119"/>
      <c r="O347" s="119"/>
      <c r="P347" s="52"/>
    </row>
    <row r="348" spans="2:16" s="88" customFormat="1" x14ac:dyDescent="0.3">
      <c r="B348" s="46" t="str">
        <f>IF(TRIM(G348)&lt;&gt;"",COUNTA($G$57:G348)&amp;"","")</f>
        <v>210</v>
      </c>
      <c r="C348" s="151"/>
      <c r="D348" s="151"/>
      <c r="E348" s="151"/>
      <c r="F348" s="87" t="s">
        <v>262</v>
      </c>
      <c r="G348" s="5">
        <v>4</v>
      </c>
      <c r="H348" s="5">
        <v>4</v>
      </c>
      <c r="I348" s="5" t="s">
        <v>37</v>
      </c>
      <c r="J348" s="157"/>
      <c r="K348" s="119"/>
      <c r="L348" s="119"/>
      <c r="M348" s="158"/>
      <c r="N348" s="119"/>
      <c r="O348" s="119"/>
      <c r="P348" s="52"/>
    </row>
    <row r="349" spans="2:16" s="88" customFormat="1" x14ac:dyDescent="0.3">
      <c r="B349" s="46" t="str">
        <f>IF(TRIM(G349)&lt;&gt;"",COUNTA($G$57:G349)&amp;"","")</f>
        <v>211</v>
      </c>
      <c r="C349" s="151"/>
      <c r="D349" s="151"/>
      <c r="E349" s="151"/>
      <c r="F349" s="87" t="s">
        <v>263</v>
      </c>
      <c r="G349" s="5">
        <v>4</v>
      </c>
      <c r="H349" s="5">
        <v>4</v>
      </c>
      <c r="I349" s="5" t="s">
        <v>37</v>
      </c>
      <c r="J349" s="157"/>
      <c r="K349" s="119"/>
      <c r="L349" s="119"/>
      <c r="M349" s="158"/>
      <c r="N349" s="119"/>
      <c r="O349" s="119"/>
      <c r="P349" s="52"/>
    </row>
    <row r="350" spans="2:16" s="88" customFormat="1" x14ac:dyDescent="0.3">
      <c r="B350" s="46" t="str">
        <f>IF(TRIM(G350)&lt;&gt;"",COUNTA($G$57:G350)&amp;"","")</f>
        <v>212</v>
      </c>
      <c r="C350" s="151"/>
      <c r="D350" s="151"/>
      <c r="E350" s="151"/>
      <c r="F350" s="87" t="s">
        <v>264</v>
      </c>
      <c r="G350" s="5">
        <v>9</v>
      </c>
      <c r="H350" s="5">
        <v>9</v>
      </c>
      <c r="I350" s="5" t="s">
        <v>37</v>
      </c>
      <c r="J350" s="157"/>
      <c r="K350" s="119"/>
      <c r="L350" s="119"/>
      <c r="M350" s="158"/>
      <c r="N350" s="119"/>
      <c r="O350" s="119"/>
      <c r="P350" s="52"/>
    </row>
    <row r="351" spans="2:16" s="88" customFormat="1" x14ac:dyDescent="0.3">
      <c r="B351" s="46" t="str">
        <f>IF(TRIM(G351)&lt;&gt;"",COUNTA($G$57:G351)&amp;"","")</f>
        <v>213</v>
      </c>
      <c r="C351" s="151"/>
      <c r="D351" s="151"/>
      <c r="E351" s="151"/>
      <c r="F351" s="87" t="s">
        <v>265</v>
      </c>
      <c r="G351" s="5">
        <v>4</v>
      </c>
      <c r="H351" s="5">
        <v>4</v>
      </c>
      <c r="I351" s="5" t="s">
        <v>37</v>
      </c>
      <c r="J351" s="157"/>
      <c r="K351" s="119"/>
      <c r="L351" s="119"/>
      <c r="M351" s="158"/>
      <c r="N351" s="119"/>
      <c r="O351" s="119"/>
      <c r="P351" s="52"/>
    </row>
    <row r="352" spans="2:16" s="88" customFormat="1" x14ac:dyDescent="0.3">
      <c r="B352" s="46" t="str">
        <f>IF(TRIM(G352)&lt;&gt;"",COUNTA($G$57:G352)&amp;"","")</f>
        <v>214</v>
      </c>
      <c r="C352" s="151"/>
      <c r="D352" s="151"/>
      <c r="E352" s="151"/>
      <c r="F352" s="87" t="s">
        <v>266</v>
      </c>
      <c r="G352" s="5">
        <v>1</v>
      </c>
      <c r="H352" s="5">
        <v>1</v>
      </c>
      <c r="I352" s="5" t="s">
        <v>37</v>
      </c>
      <c r="J352" s="157"/>
      <c r="K352" s="119"/>
      <c r="L352" s="119"/>
      <c r="M352" s="120"/>
      <c r="N352" s="119"/>
      <c r="O352" s="119"/>
      <c r="P352" s="52"/>
    </row>
    <row r="353" spans="2:17" s="88" customFormat="1" x14ac:dyDescent="0.3">
      <c r="B353" s="46" t="str">
        <f>IF(TRIM(G353)&lt;&gt;"",COUNTA($G$57:G353)&amp;"","")</f>
        <v>215</v>
      </c>
      <c r="C353" s="151"/>
      <c r="D353" s="151"/>
      <c r="E353" s="151"/>
      <c r="F353" s="87" t="s">
        <v>267</v>
      </c>
      <c r="G353" s="5">
        <v>1</v>
      </c>
      <c r="H353" s="5">
        <v>1</v>
      </c>
      <c r="I353" s="5" t="s">
        <v>37</v>
      </c>
      <c r="J353" s="157"/>
      <c r="K353" s="119"/>
      <c r="L353" s="119"/>
      <c r="M353" s="158"/>
      <c r="N353" s="119"/>
      <c r="O353" s="119"/>
      <c r="P353" s="52"/>
    </row>
    <row r="354" spans="2:17" s="88" customFormat="1" x14ac:dyDescent="0.3">
      <c r="B354" s="46" t="str">
        <f>IF(TRIM(G354)&lt;&gt;"",COUNTA($G$57:G354)&amp;"","")</f>
        <v>216</v>
      </c>
      <c r="C354" s="151"/>
      <c r="D354" s="151"/>
      <c r="E354" s="151"/>
      <c r="F354" s="87" t="s">
        <v>268</v>
      </c>
      <c r="G354" s="5">
        <v>8</v>
      </c>
      <c r="H354" s="5">
        <v>8</v>
      </c>
      <c r="I354" s="5" t="s">
        <v>37</v>
      </c>
      <c r="J354" s="157"/>
      <c r="K354" s="119"/>
      <c r="L354" s="119"/>
      <c r="M354" s="120"/>
      <c r="N354" s="119"/>
      <c r="O354" s="119"/>
      <c r="P354" s="52"/>
    </row>
    <row r="355" spans="2:17" s="88" customFormat="1" x14ac:dyDescent="0.3">
      <c r="B355" s="46" t="str">
        <f>IF(TRIM(G355)&lt;&gt;"",COUNTA($G$57:G355)&amp;"","")</f>
        <v>217</v>
      </c>
      <c r="C355" s="151"/>
      <c r="D355" s="151"/>
      <c r="E355" s="151"/>
      <c r="F355" s="87" t="s">
        <v>269</v>
      </c>
      <c r="G355" s="5">
        <v>7</v>
      </c>
      <c r="H355" s="5">
        <v>7</v>
      </c>
      <c r="I355" s="5" t="s">
        <v>37</v>
      </c>
      <c r="J355" s="164"/>
      <c r="K355" s="119"/>
      <c r="L355" s="161"/>
      <c r="M355" s="158"/>
      <c r="N355" s="119"/>
      <c r="O355" s="119"/>
      <c r="P355" s="52"/>
    </row>
    <row r="356" spans="2:17" s="88" customFormat="1" x14ac:dyDescent="0.3">
      <c r="B356" s="46" t="str">
        <f>IF(TRIM(G356)&lt;&gt;"",COUNTA($G$57:G356)&amp;"","")</f>
        <v>218</v>
      </c>
      <c r="C356" s="151"/>
      <c r="D356" s="151"/>
      <c r="E356" s="151"/>
      <c r="F356" s="87" t="s">
        <v>270</v>
      </c>
      <c r="G356" s="5">
        <v>7</v>
      </c>
      <c r="H356" s="5">
        <v>7</v>
      </c>
      <c r="I356" s="5" t="s">
        <v>37</v>
      </c>
      <c r="J356" s="164"/>
      <c r="K356" s="119"/>
      <c r="L356" s="161"/>
      <c r="M356" s="158"/>
      <c r="N356" s="119"/>
      <c r="O356" s="119"/>
      <c r="P356" s="52"/>
    </row>
    <row r="357" spans="2:17" s="88" customFormat="1" x14ac:dyDescent="0.3">
      <c r="B357" s="46" t="str">
        <f>IF(TRIM(G357)&lt;&gt;"",COUNTA($G$57:G357)&amp;"","")</f>
        <v>219</v>
      </c>
      <c r="C357" s="151"/>
      <c r="D357" s="151"/>
      <c r="E357" s="151"/>
      <c r="F357" s="87" t="s">
        <v>271</v>
      </c>
      <c r="G357" s="32">
        <v>1</v>
      </c>
      <c r="H357" s="4"/>
      <c r="I357" s="4" t="s">
        <v>5</v>
      </c>
      <c r="J357" s="160"/>
      <c r="K357" s="119"/>
      <c r="L357" s="161"/>
      <c r="M357" s="158"/>
      <c r="N357" s="119"/>
      <c r="O357" s="119"/>
      <c r="P357" s="52"/>
    </row>
    <row r="358" spans="2:17" s="88" customFormat="1" ht="14.4" thickBot="1" x14ac:dyDescent="0.35">
      <c r="B358" s="152" t="str">
        <f>IF(TRIM(G358)&lt;&gt;"",COUNTA($G$57:G358)&amp;"","")</f>
        <v/>
      </c>
      <c r="C358" s="98"/>
      <c r="D358" s="98"/>
      <c r="E358" s="98"/>
      <c r="F358" s="19" t="s">
        <v>8</v>
      </c>
      <c r="G358" s="38"/>
      <c r="H358" s="27"/>
      <c r="I358" s="27"/>
      <c r="J358" s="40"/>
      <c r="K358" s="40"/>
      <c r="L358" s="21"/>
      <c r="M358" s="71"/>
      <c r="N358" s="40"/>
      <c r="O358" s="21"/>
      <c r="P358" s="53">
        <f>SUM(P344:P357)</f>
        <v>0</v>
      </c>
    </row>
    <row r="359" spans="2:17" s="88" customFormat="1" x14ac:dyDescent="0.3">
      <c r="B359" s="89" t="str">
        <f>IF(TRIM(G359)&lt;&gt;"",COUNTA($G$57:G359)&amp;"","")</f>
        <v/>
      </c>
      <c r="C359" s="142"/>
      <c r="D359" s="142"/>
      <c r="E359" s="142"/>
      <c r="F359" s="19"/>
      <c r="G359" s="125"/>
      <c r="H359" s="126"/>
      <c r="I359" s="126"/>
      <c r="J359" s="127"/>
      <c r="K359" s="127"/>
      <c r="L359" s="129"/>
      <c r="M359" s="130"/>
      <c r="N359" s="127"/>
      <c r="O359" s="129"/>
      <c r="P359" s="131"/>
    </row>
    <row r="360" spans="2:17" s="88" customFormat="1" x14ac:dyDescent="0.3">
      <c r="B360" s="89" t="str">
        <f>IF(TRIM(G360)&lt;&gt;"",COUNTA($G$57:G360)&amp;"","")</f>
        <v/>
      </c>
      <c r="C360" s="142"/>
      <c r="D360" s="142"/>
      <c r="E360" s="142"/>
      <c r="F360" s="19"/>
      <c r="G360" s="32"/>
      <c r="H360" s="4"/>
      <c r="I360" s="4"/>
      <c r="J360" s="6"/>
      <c r="K360" s="6"/>
      <c r="L360" s="132"/>
      <c r="M360" s="133"/>
      <c r="N360" s="6"/>
      <c r="O360" s="132"/>
      <c r="P360" s="134"/>
    </row>
    <row r="361" spans="2:17" s="41" customFormat="1" x14ac:dyDescent="0.3">
      <c r="B361" s="42" t="str">
        <f>IF(TRIM(G361)&lt;&gt;"",COUNTA($G$57:G361)&amp;"","")</f>
        <v/>
      </c>
      <c r="C361" s="43"/>
      <c r="D361" s="43"/>
      <c r="E361" s="43"/>
      <c r="F361" s="44" t="s">
        <v>19</v>
      </c>
      <c r="G361" s="43"/>
      <c r="H361" s="43"/>
      <c r="I361" s="45"/>
      <c r="J361" s="78"/>
      <c r="K361" s="79"/>
      <c r="L361" s="79"/>
      <c r="M361" s="80"/>
      <c r="N361" s="4"/>
      <c r="O361" s="1"/>
      <c r="P361" s="102">
        <f>P358+P340+P317+P308+P301+P293+P282+P245+P224+P215+P178+P171+P130+P120+P65</f>
        <v>0</v>
      </c>
      <c r="Q361" s="174"/>
    </row>
    <row r="362" spans="2:17" s="41" customFormat="1" x14ac:dyDescent="0.3">
      <c r="B362" s="46" t="str">
        <f>IF(TRIM(G362)&lt;&gt;"",COUNTA($G$57:G362)&amp;"","")</f>
        <v/>
      </c>
      <c r="C362" s="144"/>
      <c r="D362" s="144"/>
      <c r="E362" s="144"/>
      <c r="F362" s="44" t="s">
        <v>29</v>
      </c>
      <c r="G362" s="47"/>
      <c r="H362" s="47"/>
      <c r="I362" s="48"/>
      <c r="J362" s="81"/>
      <c r="K362" s="79"/>
      <c r="L362" s="79"/>
      <c r="M362" s="82"/>
      <c r="N362" s="4"/>
      <c r="O362" s="1"/>
      <c r="P362" s="114">
        <f>P361*0.05</f>
        <v>0</v>
      </c>
    </row>
    <row r="363" spans="2:17" s="41" customFormat="1" x14ac:dyDescent="0.3">
      <c r="B363" s="46" t="str">
        <f>IF(TRIM(G363)&lt;&gt;"",COUNTA($G$57:G363)&amp;"","")</f>
        <v/>
      </c>
      <c r="C363" s="144"/>
      <c r="D363" s="144"/>
      <c r="E363" s="144"/>
      <c r="F363" s="49" t="s">
        <v>20</v>
      </c>
      <c r="G363" s="47"/>
      <c r="H363" s="47"/>
      <c r="I363" s="48"/>
      <c r="J363" s="83"/>
      <c r="K363" s="79"/>
      <c r="L363" s="79"/>
      <c r="M363" s="82"/>
      <c r="N363" s="4"/>
      <c r="O363" s="1"/>
      <c r="P363" s="114">
        <f>P361*0.15</f>
        <v>0</v>
      </c>
    </row>
    <row r="364" spans="2:17" s="41" customFormat="1" ht="15.75" customHeight="1" thickBot="1" x14ac:dyDescent="0.35">
      <c r="B364" s="73" t="str">
        <f>IF(TRIM(G364)&lt;&gt;"",COUNTA($G$57:G364)&amp;"","")</f>
        <v/>
      </c>
      <c r="C364" s="143"/>
      <c r="D364" s="143"/>
      <c r="E364" s="74"/>
      <c r="F364" s="75" t="s">
        <v>21</v>
      </c>
      <c r="G364" s="76"/>
      <c r="H364" s="76"/>
      <c r="I364" s="77"/>
      <c r="J364" s="84"/>
      <c r="K364" s="85"/>
      <c r="L364" s="85"/>
      <c r="M364" s="86"/>
      <c r="N364" s="5"/>
      <c r="O364" s="17"/>
      <c r="P364" s="103">
        <f>SUM(P361:P363)</f>
        <v>0</v>
      </c>
    </row>
    <row r="365" spans="2:17" s="41" customFormat="1" ht="18" customHeight="1" thickBot="1" x14ac:dyDescent="0.35">
      <c r="B365" s="186"/>
      <c r="C365" s="187"/>
      <c r="D365" s="187"/>
      <c r="E365" s="187"/>
      <c r="F365" s="187"/>
      <c r="G365" s="187"/>
      <c r="H365" s="187"/>
      <c r="I365" s="187"/>
      <c r="J365" s="187"/>
      <c r="K365" s="187"/>
      <c r="L365" s="187"/>
      <c r="M365" s="187"/>
      <c r="N365" s="187"/>
      <c r="O365" s="187"/>
      <c r="P365" s="188"/>
    </row>
    <row r="367" spans="2:17" x14ac:dyDescent="0.3">
      <c r="C367" s="29"/>
      <c r="D367" s="29"/>
      <c r="E367" s="29"/>
    </row>
  </sheetData>
  <mergeCells count="104">
    <mergeCell ref="E46:F46"/>
    <mergeCell ref="E48:F48"/>
    <mergeCell ref="B54:B55"/>
    <mergeCell ref="C54:C55"/>
    <mergeCell ref="D54:D55"/>
    <mergeCell ref="E54:E55"/>
    <mergeCell ref="F54:F55"/>
    <mergeCell ref="M54:M55"/>
    <mergeCell ref="N54:N55"/>
    <mergeCell ref="B365:P365"/>
    <mergeCell ref="O54:O55"/>
    <mergeCell ref="P54:P55"/>
    <mergeCell ref="G54:G55"/>
    <mergeCell ref="H54:H55"/>
    <mergeCell ref="I54:I55"/>
    <mergeCell ref="J54:L54"/>
    <mergeCell ref="C124:C126"/>
    <mergeCell ref="D124:D126"/>
    <mergeCell ref="E124:E126"/>
    <mergeCell ref="C135:C140"/>
    <mergeCell ref="D135:D140"/>
    <mergeCell ref="E135:E140"/>
    <mergeCell ref="P57:P64"/>
    <mergeCell ref="C70:C107"/>
    <mergeCell ref="D70:D107"/>
    <mergeCell ref="E70:E107"/>
    <mergeCell ref="C127:C129"/>
    <mergeCell ref="D127:D129"/>
    <mergeCell ref="E127:E129"/>
    <mergeCell ref="C108:C119"/>
    <mergeCell ref="D108:D119"/>
    <mergeCell ref="E108:E119"/>
    <mergeCell ref="C183:C203"/>
    <mergeCell ref="C207:C214"/>
    <mergeCell ref="D207:D214"/>
    <mergeCell ref="E207:E214"/>
    <mergeCell ref="D183:D203"/>
    <mergeCell ref="E183:E203"/>
    <mergeCell ref="C151:C155"/>
    <mergeCell ref="D151:D155"/>
    <mergeCell ref="E151:E155"/>
    <mergeCell ref="C159:C164"/>
    <mergeCell ref="D159:D164"/>
    <mergeCell ref="E159:E164"/>
    <mergeCell ref="C165:C170"/>
    <mergeCell ref="D165:D170"/>
    <mergeCell ref="E165:E170"/>
    <mergeCell ref="C253:C258"/>
    <mergeCell ref="D253:D258"/>
    <mergeCell ref="E253:E258"/>
    <mergeCell ref="C222:C223"/>
    <mergeCell ref="D222:D223"/>
    <mergeCell ref="E222:E223"/>
    <mergeCell ref="C219:C221"/>
    <mergeCell ref="D219:D221"/>
    <mergeCell ref="E219:E221"/>
    <mergeCell ref="C334:C339"/>
    <mergeCell ref="D334:D339"/>
    <mergeCell ref="E334:E339"/>
    <mergeCell ref="C275:C281"/>
    <mergeCell ref="D275:D281"/>
    <mergeCell ref="E275:E281"/>
    <mergeCell ref="C268:C273"/>
    <mergeCell ref="D268:D273"/>
    <mergeCell ref="E268:E273"/>
    <mergeCell ref="C286:C287"/>
    <mergeCell ref="D286:D287"/>
    <mergeCell ref="E286:E287"/>
    <mergeCell ref="C289:C292"/>
    <mergeCell ref="D289:D292"/>
    <mergeCell ref="E289:E292"/>
    <mergeCell ref="C306:C307"/>
    <mergeCell ref="D306:D307"/>
    <mergeCell ref="E306:E307"/>
    <mergeCell ref="C297:C300"/>
    <mergeCell ref="D297:D300"/>
    <mergeCell ref="E297:E300"/>
    <mergeCell ref="C321:C328"/>
    <mergeCell ref="D321:D328"/>
    <mergeCell ref="E321:E328"/>
    <mergeCell ref="C329:C333"/>
    <mergeCell ref="D329:D333"/>
    <mergeCell ref="E329:E333"/>
    <mergeCell ref="C141:C145"/>
    <mergeCell ref="D141:D145"/>
    <mergeCell ref="E141:E145"/>
    <mergeCell ref="C146:C150"/>
    <mergeCell ref="D146:D150"/>
    <mergeCell ref="E146:E150"/>
    <mergeCell ref="C156:C158"/>
    <mergeCell ref="D156:D158"/>
    <mergeCell ref="E156:E158"/>
    <mergeCell ref="D251:D252"/>
    <mergeCell ref="E251:E252"/>
    <mergeCell ref="C259:C266"/>
    <mergeCell ref="D259:D266"/>
    <mergeCell ref="E259:E266"/>
    <mergeCell ref="C228:C235"/>
    <mergeCell ref="D228:D235"/>
    <mergeCell ref="E228:E235"/>
    <mergeCell ref="C237:C242"/>
    <mergeCell ref="D237:D242"/>
    <mergeCell ref="E237:E242"/>
    <mergeCell ref="C251:C252"/>
  </mergeCells>
  <printOptions horizontalCentered="1"/>
  <pageMargins left="0.2" right="0.25" top="0.25" bottom="0.25" header="0" footer="0"/>
  <pageSetup scale="48" fitToHeight="0" orientation="portrait" horizontalDpi="1200" verticalDpi="1200" r:id="rId1"/>
  <headerFooter differentFirst="1">
    <oddHeader>&amp;CPage &amp;P of &amp;N</oddHeader>
  </headerFooter>
  <rowBreaks count="1" manualBreakCount="1">
    <brk id="53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i = " h t t p : / / w w w . w 3 . o r g / 2 0 0 1 / X M L S c h e m a - i n s t a n c e "   x m l n s : x s d = " h t t p : / / w w w . w 3 . o r g / 2 0 0 1 / X M L S c h e m a " > < T o k e n s / > < / S w i f t T o k e n s > 
</file>

<file path=customXml/itemProps1.xml><?xml version="1.0" encoding="utf-8"?>
<ds:datastoreItem xmlns:ds="http://schemas.openxmlformats.org/officeDocument/2006/customXml" ds:itemID="{DF0D75EF-6BE2-4379-8926-009F82C42F5A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QTO</vt:lpstr>
      <vt:lpstr>QTO!Print_Area</vt:lpstr>
      <vt:lpstr>QTO!Print_Titles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Absolute002</dc:creator>
  <cp:lastModifiedBy>HP</cp:lastModifiedBy>
  <cp:lastPrinted>2022-04-16T18:12:05Z</cp:lastPrinted>
  <dcterms:created xsi:type="dcterms:W3CDTF">2013-09-18T14:51:37Z</dcterms:created>
  <dcterms:modified xsi:type="dcterms:W3CDTF">2026-03-11T16:54:45Z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{DF0D75EF-6BE2-4379-8926-009F82C42F5A}</vt:lpwstr>
  </property>
</Properties>
</file>